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4. 2022년도\2. 2022년 실시계획\1. 중구사무\1. 중촌교차로 ~ 백운로 도로개설공사(신규)(2021.10.28)-진행중\8. 실시계획인가\"/>
    </mc:Choice>
  </mc:AlternateContent>
  <bookViews>
    <workbookView xWindow="14505" yWindow="-15" windowWidth="14340" windowHeight="12675" tabRatio="851"/>
  </bookViews>
  <sheets>
    <sheet name="토지조서" sheetId="66" r:id="rId1"/>
    <sheet name="xxx출력금지선두리확인용" sheetId="67" state="hidden" r:id="rId2"/>
    <sheet name="xxx출력금지사기리확인용" sheetId="68" state="hidden" r:id="rId3"/>
    <sheet name="xxx출력금지덕포리확인용" sheetId="69" state="hidden" r:id="rId4"/>
    <sheet name="선두리 (2)" sheetId="70" state="hidden" r:id="rId5"/>
    <sheet name="사기리 (2)" sheetId="71" state="hidden" r:id="rId6"/>
    <sheet name="덕포리 (2)" sheetId="72" state="hidden" r:id="rId7"/>
    <sheet name="3구간집계표" sheetId="64" state="hidden" r:id="rId8"/>
    <sheet name="3구간" sheetId="62" state="hidden" r:id="rId9"/>
    <sheet name="리명3" sheetId="56" state="hidden" r:id="rId10"/>
    <sheet name="리명4" sheetId="57" state="hidden" r:id="rId11"/>
  </sheets>
  <definedNames>
    <definedName name="_xlnm._FilterDatabase" localSheetId="8" hidden="1">'3구간'!$A$5:$BX$49</definedName>
    <definedName name="_xlnm._FilterDatabase" localSheetId="3" hidden="1">xxx출력금지덕포리확인용!$D$1:$D$258</definedName>
    <definedName name="_xlnm._FilterDatabase" localSheetId="2" hidden="1">xxx출력금지사기리확인용!$D$1:$D$289</definedName>
    <definedName name="_xlnm._FilterDatabase" localSheetId="1" hidden="1">xxx출력금지선두리확인용!$A$5:$BY$57</definedName>
    <definedName name="_xlnm._FilterDatabase" localSheetId="6" hidden="1">'덕포리 (2)'!$B$4:$O$26</definedName>
    <definedName name="_xlnm._FilterDatabase" localSheetId="9" hidden="1">리명3!$A$5:$BX$26</definedName>
    <definedName name="_xlnm._FilterDatabase" localSheetId="10" hidden="1">리명4!$A$5:$CC$26</definedName>
    <definedName name="_xlnm._FilterDatabase" localSheetId="5" hidden="1">'사기리 (2)'!$F$1:$F$289</definedName>
    <definedName name="_xlnm._FilterDatabase" localSheetId="4" hidden="1">'선두리 (2)'!$A$5:$CB$57</definedName>
    <definedName name="_xlnm._FilterDatabase" localSheetId="0" hidden="1">토지조서!$A$2:$R$79</definedName>
    <definedName name="_xlnm.Print_Area" localSheetId="8">'3구간'!$A$1:$L$31</definedName>
    <definedName name="_xlnm.Print_Area" localSheetId="7">'3구간집계표'!$A$1:$Z$31</definedName>
    <definedName name="_xlnm.Print_Area" localSheetId="3">xxx출력금지덕포리확인용!$A$1:$M$30</definedName>
    <definedName name="_xlnm.Print_Area" localSheetId="2">xxx출력금지사기리확인용!$A$1:$M$79</definedName>
    <definedName name="_xlnm.Print_Area" localSheetId="1">xxx출력금지선두리확인용!$A$1:$M$18</definedName>
    <definedName name="_xlnm.Print_Area" localSheetId="6">'덕포리 (2)'!$A$1:$O$31</definedName>
    <definedName name="_xlnm.Print_Area" localSheetId="9">리명3!$A$1:$K$26</definedName>
    <definedName name="_xlnm.Print_Area" localSheetId="10">리명4!$A$1:$P$26</definedName>
    <definedName name="_xlnm.Print_Area" localSheetId="5">'사기리 (2)'!$A$1:$P$79</definedName>
    <definedName name="_xlnm.Print_Area" localSheetId="4">'선두리 (2)'!$A$1:$P$18</definedName>
    <definedName name="_xlnm.Print_Area" localSheetId="0">토지조서!$A$1:$R$79</definedName>
    <definedName name="_xlnm.Print_Titles" localSheetId="8">'3구간'!$1:$5</definedName>
    <definedName name="_xlnm.Print_Titles" localSheetId="7">'3구간집계표'!$1:$1</definedName>
    <definedName name="_xlnm.Print_Titles" localSheetId="3">xxx출력금지덕포리확인용!$1:$5</definedName>
    <definedName name="_xlnm.Print_Titles" localSheetId="2">xxx출력금지사기리확인용!$1:$5</definedName>
    <definedName name="_xlnm.Print_Titles" localSheetId="1">xxx출력금지선두리확인용!$1:$5</definedName>
    <definedName name="_xlnm.Print_Titles" localSheetId="6">'덕포리 (2)'!$1:$5</definedName>
    <definedName name="_xlnm.Print_Titles" localSheetId="9">리명3!$1:$5</definedName>
    <definedName name="_xlnm.Print_Titles" localSheetId="10">리명4!$1:$5</definedName>
    <definedName name="_xlnm.Print_Titles" localSheetId="5">'사기리 (2)'!$1:$5</definedName>
    <definedName name="_xlnm.Print_Titles" localSheetId="4">'선두리 (2)'!$1:$5</definedName>
    <definedName name="_xlnm.Print_Titles" localSheetId="0">토지조서!$1:$3</definedName>
  </definedNames>
  <calcPr calcId="162913"/>
</workbook>
</file>

<file path=xl/calcChain.xml><?xml version="1.0" encoding="utf-8"?>
<calcChain xmlns="http://schemas.openxmlformats.org/spreadsheetml/2006/main">
  <c r="I79" i="66" l="1"/>
  <c r="J79" i="66"/>
  <c r="Q11" i="68"/>
  <c r="T21" i="71"/>
  <c r="T20" i="71"/>
  <c r="T19" i="71"/>
  <c r="T18" i="71"/>
  <c r="T17" i="71"/>
  <c r="T16" i="71"/>
  <c r="T15" i="71"/>
  <c r="T14" i="71"/>
  <c r="T13" i="71"/>
  <c r="T12" i="71"/>
  <c r="T11" i="71"/>
  <c r="T10" i="71"/>
  <c r="T9" i="71"/>
  <c r="T8" i="71"/>
  <c r="T7" i="71"/>
  <c r="T6" i="71"/>
  <c r="T8" i="70"/>
  <c r="T7" i="70"/>
  <c r="T6" i="70"/>
  <c r="S267" i="72"/>
  <c r="R267" i="72"/>
  <c r="S266" i="72"/>
  <c r="R266" i="72"/>
  <c r="S265" i="72"/>
  <c r="R265" i="72"/>
  <c r="S264" i="72"/>
  <c r="R264" i="72"/>
  <c r="S263" i="72"/>
  <c r="R263" i="72"/>
  <c r="S262" i="72"/>
  <c r="R262" i="72"/>
  <c r="S261" i="72"/>
  <c r="R261" i="72"/>
  <c r="S260" i="72"/>
  <c r="R260" i="72"/>
  <c r="R259" i="72"/>
  <c r="S258" i="72"/>
  <c r="R258" i="72"/>
  <c r="S257" i="72"/>
  <c r="R257" i="72"/>
  <c r="S256" i="72"/>
  <c r="R256" i="72"/>
  <c r="S255" i="72"/>
  <c r="R255" i="72"/>
  <c r="S254" i="72"/>
  <c r="R254" i="72"/>
  <c r="S253" i="72"/>
  <c r="R253" i="72"/>
  <c r="S252" i="72"/>
  <c r="R252" i="72"/>
  <c r="S251" i="72"/>
  <c r="R251" i="72"/>
  <c r="S250" i="72"/>
  <c r="R250" i="72"/>
  <c r="S249" i="72"/>
  <c r="R249" i="72"/>
  <c r="S248" i="72"/>
  <c r="R248" i="72"/>
  <c r="S247" i="72"/>
  <c r="R247" i="72"/>
  <c r="S246" i="72"/>
  <c r="R246" i="72"/>
  <c r="S245" i="72"/>
  <c r="R245" i="72"/>
  <c r="S244" i="72"/>
  <c r="R244" i="72"/>
  <c r="S243" i="72"/>
  <c r="R243" i="72"/>
  <c r="S242" i="72"/>
  <c r="R242" i="72"/>
  <c r="S241" i="72"/>
  <c r="R241" i="72"/>
  <c r="S240" i="72"/>
  <c r="R240" i="72"/>
  <c r="S239" i="72"/>
  <c r="R239" i="72"/>
  <c r="R238" i="72"/>
  <c r="S237" i="72"/>
  <c r="R237" i="72"/>
  <c r="S236" i="72"/>
  <c r="R236" i="72"/>
  <c r="S235" i="72"/>
  <c r="R235" i="72"/>
  <c r="S234" i="72"/>
  <c r="R234" i="72"/>
  <c r="S233" i="72"/>
  <c r="R233" i="72"/>
  <c r="S232" i="72"/>
  <c r="R232" i="72"/>
  <c r="S231" i="72"/>
  <c r="R231" i="72"/>
  <c r="S230" i="72"/>
  <c r="R230" i="72"/>
  <c r="S229" i="72"/>
  <c r="R229" i="72"/>
  <c r="S228" i="72"/>
  <c r="R228" i="72"/>
  <c r="S227" i="72"/>
  <c r="R227" i="72"/>
  <c r="S226" i="72"/>
  <c r="R226" i="72"/>
  <c r="S225" i="72"/>
  <c r="R225" i="72"/>
  <c r="S224" i="72"/>
  <c r="R224" i="72"/>
  <c r="S223" i="72"/>
  <c r="R223" i="72"/>
  <c r="S222" i="72"/>
  <c r="R222" i="72"/>
  <c r="S221" i="72"/>
  <c r="R221" i="72"/>
  <c r="S220" i="72"/>
  <c r="R220" i="72"/>
  <c r="S219" i="72"/>
  <c r="R219" i="72"/>
  <c r="S218" i="72"/>
  <c r="R218" i="72"/>
  <c r="R217" i="72"/>
  <c r="S216" i="72"/>
  <c r="R216" i="72"/>
  <c r="S215" i="72"/>
  <c r="R215" i="72"/>
  <c r="S214" i="72"/>
  <c r="R214" i="72"/>
  <c r="S213" i="72"/>
  <c r="R213" i="72"/>
  <c r="S212" i="72"/>
  <c r="R212" i="72"/>
  <c r="S211" i="72"/>
  <c r="R211" i="72"/>
  <c r="S210" i="72"/>
  <c r="R210" i="72"/>
  <c r="S209" i="72"/>
  <c r="R209" i="72"/>
  <c r="S208" i="72"/>
  <c r="R208" i="72"/>
  <c r="S207" i="72"/>
  <c r="R207" i="72"/>
  <c r="S206" i="72"/>
  <c r="R206" i="72"/>
  <c r="S205" i="72"/>
  <c r="R205" i="72"/>
  <c r="S204" i="72"/>
  <c r="R204" i="72"/>
  <c r="S203" i="72"/>
  <c r="R203" i="72"/>
  <c r="S202" i="72"/>
  <c r="R202" i="72"/>
  <c r="S201" i="72"/>
  <c r="R201" i="72"/>
  <c r="S200" i="72"/>
  <c r="R200" i="72"/>
  <c r="S199" i="72"/>
  <c r="R199" i="72"/>
  <c r="S198" i="72"/>
  <c r="R198" i="72"/>
  <c r="S197" i="72"/>
  <c r="R197" i="72"/>
  <c r="R196" i="72"/>
  <c r="S195" i="72"/>
  <c r="R195" i="72"/>
  <c r="S194" i="72"/>
  <c r="R194" i="72"/>
  <c r="S193" i="72"/>
  <c r="R193" i="72"/>
  <c r="S192" i="72"/>
  <c r="R192" i="72"/>
  <c r="S191" i="72"/>
  <c r="R191" i="72"/>
  <c r="S190" i="72"/>
  <c r="R190" i="72"/>
  <c r="S189" i="72"/>
  <c r="R189" i="72"/>
  <c r="S188" i="72"/>
  <c r="R188" i="72"/>
  <c r="S187" i="72"/>
  <c r="R187" i="72"/>
  <c r="S186" i="72"/>
  <c r="R186" i="72"/>
  <c r="S185" i="72"/>
  <c r="R185" i="72"/>
  <c r="S184" i="72"/>
  <c r="R184" i="72"/>
  <c r="S183" i="72"/>
  <c r="R183" i="72"/>
  <c r="S182" i="72"/>
  <c r="R182" i="72"/>
  <c r="S181" i="72"/>
  <c r="R181" i="72"/>
  <c r="S180" i="72"/>
  <c r="R180" i="72"/>
  <c r="S179" i="72"/>
  <c r="R179" i="72"/>
  <c r="S178" i="72"/>
  <c r="R178" i="72"/>
  <c r="S177" i="72"/>
  <c r="R177" i="72"/>
  <c r="S176" i="72"/>
  <c r="R176" i="72"/>
  <c r="R175" i="72"/>
  <c r="S174" i="72"/>
  <c r="R174" i="72"/>
  <c r="S173" i="72"/>
  <c r="R173" i="72"/>
  <c r="S172" i="72"/>
  <c r="R172" i="72"/>
  <c r="S171" i="72"/>
  <c r="R171" i="72"/>
  <c r="S170" i="72"/>
  <c r="R170" i="72"/>
  <c r="S169" i="72"/>
  <c r="R169" i="72"/>
  <c r="S168" i="72"/>
  <c r="R168" i="72"/>
  <c r="S167" i="72"/>
  <c r="R167" i="72"/>
  <c r="S166" i="72"/>
  <c r="R166" i="72"/>
  <c r="S165" i="72"/>
  <c r="R165" i="72"/>
  <c r="S164" i="72"/>
  <c r="R164" i="72"/>
  <c r="S163" i="72"/>
  <c r="R163" i="72"/>
  <c r="S162" i="72"/>
  <c r="R162" i="72"/>
  <c r="S161" i="72"/>
  <c r="R161" i="72"/>
  <c r="S160" i="72"/>
  <c r="R160" i="72"/>
  <c r="S159" i="72"/>
  <c r="R159" i="72"/>
  <c r="S158" i="72"/>
  <c r="R158" i="72"/>
  <c r="S157" i="72"/>
  <c r="R157" i="72"/>
  <c r="S156" i="72"/>
  <c r="R156" i="72"/>
  <c r="S155" i="72"/>
  <c r="R155" i="72"/>
  <c r="R154" i="72"/>
  <c r="S153" i="72"/>
  <c r="R153" i="72"/>
  <c r="S152" i="72"/>
  <c r="R152" i="72"/>
  <c r="S151" i="72"/>
  <c r="R151" i="72"/>
  <c r="S150" i="72"/>
  <c r="R150" i="72"/>
  <c r="S149" i="72"/>
  <c r="R149" i="72"/>
  <c r="S148" i="72"/>
  <c r="R148" i="72"/>
  <c r="S147" i="72"/>
  <c r="R147" i="72"/>
  <c r="S146" i="72"/>
  <c r="R146" i="72"/>
  <c r="S145" i="72"/>
  <c r="R145" i="72"/>
  <c r="S144" i="72"/>
  <c r="R144" i="72"/>
  <c r="S143" i="72"/>
  <c r="R143" i="72"/>
  <c r="S142" i="72"/>
  <c r="R142" i="72"/>
  <c r="S141" i="72"/>
  <c r="R141" i="72"/>
  <c r="S140" i="72"/>
  <c r="R140" i="72"/>
  <c r="S139" i="72"/>
  <c r="R139" i="72"/>
  <c r="S138" i="72"/>
  <c r="R138" i="72"/>
  <c r="S137" i="72"/>
  <c r="R137" i="72"/>
  <c r="S136" i="72"/>
  <c r="R136" i="72"/>
  <c r="S135" i="72"/>
  <c r="R135" i="72"/>
  <c r="S134" i="72"/>
  <c r="R134" i="72"/>
  <c r="R133" i="72"/>
  <c r="S132" i="72"/>
  <c r="R132" i="72"/>
  <c r="S131" i="72"/>
  <c r="R131" i="72"/>
  <c r="S130" i="72"/>
  <c r="R130" i="72"/>
  <c r="S129" i="72"/>
  <c r="R129" i="72"/>
  <c r="S128" i="72"/>
  <c r="R128" i="72"/>
  <c r="S127" i="72"/>
  <c r="R127" i="72"/>
  <c r="S126" i="72"/>
  <c r="R126" i="72"/>
  <c r="S125" i="72"/>
  <c r="R125" i="72"/>
  <c r="S124" i="72"/>
  <c r="R124" i="72"/>
  <c r="S123" i="72"/>
  <c r="R123" i="72"/>
  <c r="S122" i="72"/>
  <c r="R122" i="72"/>
  <c r="S121" i="72"/>
  <c r="R121" i="72"/>
  <c r="S120" i="72"/>
  <c r="R120" i="72"/>
  <c r="S119" i="72"/>
  <c r="R119" i="72"/>
  <c r="S118" i="72"/>
  <c r="R118" i="72"/>
  <c r="S117" i="72"/>
  <c r="R117" i="72"/>
  <c r="S116" i="72"/>
  <c r="R116" i="72"/>
  <c r="S115" i="72"/>
  <c r="R115" i="72"/>
  <c r="S114" i="72"/>
  <c r="R114" i="72"/>
  <c r="S113" i="72"/>
  <c r="R113" i="72"/>
  <c r="R112" i="72"/>
  <c r="S111" i="72"/>
  <c r="R111" i="72"/>
  <c r="S110" i="72"/>
  <c r="R110" i="72"/>
  <c r="S109" i="72"/>
  <c r="R109" i="72"/>
  <c r="S108" i="72"/>
  <c r="R108" i="72"/>
  <c r="S107" i="72"/>
  <c r="R107" i="72"/>
  <c r="S106" i="72"/>
  <c r="R106" i="72"/>
  <c r="S105" i="72"/>
  <c r="R105" i="72"/>
  <c r="S104" i="72"/>
  <c r="R104" i="72"/>
  <c r="S103" i="72"/>
  <c r="R103" i="72"/>
  <c r="S102" i="72"/>
  <c r="R102" i="72"/>
  <c r="S101" i="72"/>
  <c r="R101" i="72"/>
  <c r="S100" i="72"/>
  <c r="R100" i="72"/>
  <c r="S99" i="72"/>
  <c r="R99" i="72"/>
  <c r="S98" i="72"/>
  <c r="R98" i="72"/>
  <c r="S97" i="72"/>
  <c r="R97" i="72"/>
  <c r="S96" i="72"/>
  <c r="R96" i="72"/>
  <c r="S95" i="72"/>
  <c r="R95" i="72"/>
  <c r="S94" i="72"/>
  <c r="R94" i="72"/>
  <c r="S93" i="72"/>
  <c r="R93" i="72"/>
  <c r="S92" i="72"/>
  <c r="R92" i="72"/>
  <c r="R91" i="72"/>
  <c r="S90" i="72"/>
  <c r="R90" i="72"/>
  <c r="S89" i="72"/>
  <c r="R89" i="72"/>
  <c r="S88" i="72"/>
  <c r="R88" i="72"/>
  <c r="S87" i="72"/>
  <c r="R87" i="72"/>
  <c r="S86" i="72"/>
  <c r="R86" i="72"/>
  <c r="S85" i="72"/>
  <c r="R85" i="72"/>
  <c r="S84" i="72"/>
  <c r="R84" i="72"/>
  <c r="S83" i="72"/>
  <c r="R83" i="72"/>
  <c r="S82" i="72"/>
  <c r="R82" i="72"/>
  <c r="S81" i="72"/>
  <c r="R81" i="72"/>
  <c r="S80" i="72"/>
  <c r="R80" i="72"/>
  <c r="S79" i="72"/>
  <c r="R79" i="72"/>
  <c r="S78" i="72"/>
  <c r="R78" i="72"/>
  <c r="S77" i="72"/>
  <c r="R77" i="72"/>
  <c r="S76" i="72"/>
  <c r="R76" i="72"/>
  <c r="S75" i="72"/>
  <c r="R75" i="72"/>
  <c r="S74" i="72"/>
  <c r="R74" i="72"/>
  <c r="S73" i="72"/>
  <c r="R73" i="72"/>
  <c r="S72" i="72"/>
  <c r="R72" i="72"/>
  <c r="S71" i="72"/>
  <c r="R71" i="72"/>
  <c r="R70" i="72"/>
  <c r="S69" i="72"/>
  <c r="R69" i="72"/>
  <c r="S68" i="72"/>
  <c r="R68" i="72"/>
  <c r="S67" i="72"/>
  <c r="R67" i="72"/>
  <c r="S66" i="72"/>
  <c r="R66" i="72"/>
  <c r="S65" i="72"/>
  <c r="R65" i="72"/>
  <c r="S64" i="72"/>
  <c r="R64" i="72"/>
  <c r="S63" i="72"/>
  <c r="R63" i="72"/>
  <c r="S62" i="72"/>
  <c r="R62" i="72"/>
  <c r="S61" i="72"/>
  <c r="R61" i="72"/>
  <c r="S60" i="72"/>
  <c r="R60" i="72"/>
  <c r="S59" i="72"/>
  <c r="R59" i="72"/>
  <c r="S58" i="72"/>
  <c r="R58" i="72"/>
  <c r="S57" i="72"/>
  <c r="R57" i="72"/>
  <c r="S56" i="72"/>
  <c r="R56" i="72"/>
  <c r="S55" i="72"/>
  <c r="R55" i="72"/>
  <c r="S54" i="72"/>
  <c r="R54" i="72"/>
  <c r="S53" i="72"/>
  <c r="R53" i="72"/>
  <c r="S52" i="72"/>
  <c r="R52" i="72"/>
  <c r="S51" i="72"/>
  <c r="R51" i="72"/>
  <c r="S50" i="72"/>
  <c r="R50" i="72"/>
  <c r="R49" i="72"/>
  <c r="S48" i="72"/>
  <c r="R48" i="72"/>
  <c r="S47" i="72"/>
  <c r="R47" i="72"/>
  <c r="S46" i="72"/>
  <c r="R46" i="72"/>
  <c r="S45" i="72"/>
  <c r="R45" i="72"/>
  <c r="S44" i="72"/>
  <c r="R44" i="72"/>
  <c r="S43" i="72"/>
  <c r="R43" i="72"/>
  <c r="S42" i="72"/>
  <c r="R42" i="72"/>
  <c r="S41" i="72"/>
  <c r="R41" i="72"/>
  <c r="S40" i="72"/>
  <c r="R40" i="72"/>
  <c r="S39" i="72"/>
  <c r="R39" i="72"/>
  <c r="S38" i="72"/>
  <c r="R38" i="72"/>
  <c r="S37" i="72"/>
  <c r="R37" i="72"/>
  <c r="S36" i="72"/>
  <c r="R36" i="72"/>
  <c r="S35" i="72"/>
  <c r="R35" i="72"/>
  <c r="S34" i="72"/>
  <c r="R34" i="72"/>
  <c r="S33" i="72"/>
  <c r="R33" i="72"/>
  <c r="S32" i="72"/>
  <c r="R32" i="72"/>
  <c r="R31" i="72"/>
  <c r="S30" i="72"/>
  <c r="R30" i="72"/>
  <c r="S29" i="72"/>
  <c r="R29" i="72"/>
  <c r="S28" i="72"/>
  <c r="R28" i="72"/>
  <c r="S27" i="72"/>
  <c r="R27" i="72"/>
  <c r="S26" i="72"/>
  <c r="R26" i="72"/>
  <c r="S25" i="72"/>
  <c r="R25" i="72"/>
  <c r="S24" i="72"/>
  <c r="R24" i="72"/>
  <c r="S23" i="72"/>
  <c r="R23" i="72"/>
  <c r="S22" i="72"/>
  <c r="R22" i="72"/>
  <c r="S21" i="72"/>
  <c r="R21" i="72"/>
  <c r="S20" i="72"/>
  <c r="R20" i="72"/>
  <c r="S19" i="72"/>
  <c r="R19" i="72"/>
  <c r="S18" i="72"/>
  <c r="R18" i="72"/>
  <c r="S17" i="72"/>
  <c r="R17" i="72"/>
  <c r="S16" i="72"/>
  <c r="R16" i="72"/>
  <c r="S15" i="72"/>
  <c r="R15" i="72"/>
  <c r="S14" i="72"/>
  <c r="R14" i="72"/>
  <c r="S13" i="72"/>
  <c r="R13" i="72"/>
  <c r="S12" i="72"/>
  <c r="R12" i="72"/>
  <c r="S11" i="72"/>
  <c r="R11" i="72"/>
  <c r="S10" i="72"/>
  <c r="R10" i="72"/>
  <c r="S9" i="72"/>
  <c r="R9" i="72"/>
  <c r="S8" i="72"/>
  <c r="R8" i="72"/>
  <c r="S7" i="72"/>
  <c r="R7" i="72"/>
  <c r="S6" i="72"/>
  <c r="R6" i="72"/>
  <c r="S267" i="71"/>
  <c r="R267" i="71"/>
  <c r="S266" i="71"/>
  <c r="R266" i="71"/>
  <c r="S265" i="71"/>
  <c r="R265" i="71"/>
  <c r="S264" i="71"/>
  <c r="R264" i="71"/>
  <c r="S263" i="71"/>
  <c r="R263" i="71"/>
  <c r="S262" i="71"/>
  <c r="R262" i="71"/>
  <c r="S261" i="71"/>
  <c r="R261" i="71"/>
  <c r="S260" i="71"/>
  <c r="R260" i="71"/>
  <c r="S259" i="71"/>
  <c r="R259" i="71"/>
  <c r="S258" i="71"/>
  <c r="R258" i="71"/>
  <c r="S257" i="71"/>
  <c r="R257" i="71"/>
  <c r="S256" i="71"/>
  <c r="R256" i="71"/>
  <c r="S255" i="71"/>
  <c r="R255" i="71"/>
  <c r="S254" i="71"/>
  <c r="R254" i="71"/>
  <c r="S253" i="71"/>
  <c r="R253" i="71"/>
  <c r="S252" i="71"/>
  <c r="R252" i="71"/>
  <c r="S251" i="71"/>
  <c r="R251" i="71"/>
  <c r="S250" i="71"/>
  <c r="R250" i="71"/>
  <c r="S249" i="71"/>
  <c r="R249" i="71"/>
  <c r="S248" i="71"/>
  <c r="R248" i="71"/>
  <c r="R247" i="71"/>
  <c r="S246" i="71"/>
  <c r="R246" i="71"/>
  <c r="S245" i="71"/>
  <c r="R245" i="71"/>
  <c r="S244" i="71"/>
  <c r="R244" i="71"/>
  <c r="S243" i="71"/>
  <c r="R243" i="71"/>
  <c r="S242" i="71"/>
  <c r="R242" i="71"/>
  <c r="S241" i="71"/>
  <c r="R241" i="71"/>
  <c r="S240" i="71"/>
  <c r="R240" i="71"/>
  <c r="S239" i="71"/>
  <c r="R239" i="71"/>
  <c r="S238" i="71"/>
  <c r="R238" i="71"/>
  <c r="S237" i="71"/>
  <c r="R237" i="71"/>
  <c r="S236" i="71"/>
  <c r="R236" i="71"/>
  <c r="S235" i="71"/>
  <c r="R235" i="71"/>
  <c r="S234" i="71"/>
  <c r="R234" i="71"/>
  <c r="S233" i="71"/>
  <c r="R233" i="71"/>
  <c r="S232" i="71"/>
  <c r="R232" i="71"/>
  <c r="S231" i="71"/>
  <c r="R231" i="71"/>
  <c r="S230" i="71"/>
  <c r="R230" i="71"/>
  <c r="S229" i="71"/>
  <c r="R229" i="71"/>
  <c r="S228" i="71"/>
  <c r="R228" i="71"/>
  <c r="S227" i="71"/>
  <c r="R227" i="71"/>
  <c r="R226" i="71"/>
  <c r="S225" i="71"/>
  <c r="R225" i="71"/>
  <c r="S224" i="71"/>
  <c r="R224" i="71"/>
  <c r="S223" i="71"/>
  <c r="R223" i="71"/>
  <c r="S222" i="71"/>
  <c r="R222" i="71"/>
  <c r="S221" i="71"/>
  <c r="R221" i="71"/>
  <c r="S220" i="71"/>
  <c r="R220" i="71"/>
  <c r="S219" i="71"/>
  <c r="R219" i="71"/>
  <c r="S218" i="71"/>
  <c r="R218" i="71"/>
  <c r="S217" i="71"/>
  <c r="R217" i="71"/>
  <c r="S216" i="71"/>
  <c r="R216" i="71"/>
  <c r="S215" i="71"/>
  <c r="R215" i="71"/>
  <c r="S214" i="71"/>
  <c r="R214" i="71"/>
  <c r="S213" i="71"/>
  <c r="R213" i="71"/>
  <c r="S212" i="71"/>
  <c r="R212" i="71"/>
  <c r="S211" i="71"/>
  <c r="R211" i="71"/>
  <c r="S210" i="71"/>
  <c r="R210" i="71"/>
  <c r="S209" i="71"/>
  <c r="R209" i="71"/>
  <c r="S208" i="71"/>
  <c r="R208" i="71"/>
  <c r="S207" i="71"/>
  <c r="R207" i="71"/>
  <c r="S206" i="71"/>
  <c r="R206" i="71"/>
  <c r="R205" i="71"/>
  <c r="S204" i="71"/>
  <c r="R204" i="71"/>
  <c r="S203" i="71"/>
  <c r="R203" i="71"/>
  <c r="S202" i="71"/>
  <c r="R202" i="71"/>
  <c r="S201" i="71"/>
  <c r="R201" i="71"/>
  <c r="S200" i="71"/>
  <c r="R200" i="71"/>
  <c r="S199" i="71"/>
  <c r="R199" i="71"/>
  <c r="S198" i="71"/>
  <c r="R198" i="71"/>
  <c r="S197" i="71"/>
  <c r="R197" i="71"/>
  <c r="S196" i="71"/>
  <c r="R196" i="71"/>
  <c r="S195" i="71"/>
  <c r="R195" i="71"/>
  <c r="S194" i="71"/>
  <c r="R194" i="71"/>
  <c r="S193" i="71"/>
  <c r="R193" i="71"/>
  <c r="S192" i="71"/>
  <c r="R192" i="71"/>
  <c r="S191" i="71"/>
  <c r="R191" i="71"/>
  <c r="S190" i="71"/>
  <c r="R190" i="71"/>
  <c r="S189" i="71"/>
  <c r="R189" i="71"/>
  <c r="S188" i="71"/>
  <c r="R188" i="71"/>
  <c r="S187" i="71"/>
  <c r="R187" i="71"/>
  <c r="S186" i="71"/>
  <c r="R186" i="71"/>
  <c r="S185" i="71"/>
  <c r="R185" i="71"/>
  <c r="R184" i="71"/>
  <c r="S183" i="71"/>
  <c r="R183" i="71"/>
  <c r="S182" i="71"/>
  <c r="R182" i="71"/>
  <c r="S181" i="71"/>
  <c r="R181" i="71"/>
  <c r="S180" i="71"/>
  <c r="R180" i="71"/>
  <c r="S179" i="71"/>
  <c r="R179" i="71"/>
  <c r="S178" i="71"/>
  <c r="R178" i="71"/>
  <c r="S177" i="71"/>
  <c r="R177" i="71"/>
  <c r="S176" i="71"/>
  <c r="R176" i="71"/>
  <c r="S175" i="71"/>
  <c r="R175" i="71"/>
  <c r="S174" i="71"/>
  <c r="R174" i="71"/>
  <c r="S173" i="71"/>
  <c r="R173" i="71"/>
  <c r="S172" i="71"/>
  <c r="R172" i="71"/>
  <c r="S171" i="71"/>
  <c r="R171" i="71"/>
  <c r="S170" i="71"/>
  <c r="R170" i="71"/>
  <c r="S169" i="71"/>
  <c r="R169" i="71"/>
  <c r="S168" i="71"/>
  <c r="R168" i="71"/>
  <c r="S167" i="71"/>
  <c r="R167" i="71"/>
  <c r="S166" i="71"/>
  <c r="R166" i="71"/>
  <c r="S165" i="71"/>
  <c r="R165" i="71"/>
  <c r="S164" i="71"/>
  <c r="R164" i="71"/>
  <c r="R163" i="71"/>
  <c r="S162" i="71"/>
  <c r="R162" i="71"/>
  <c r="S161" i="71"/>
  <c r="R161" i="71"/>
  <c r="S160" i="71"/>
  <c r="R160" i="71"/>
  <c r="S159" i="71"/>
  <c r="R159" i="71"/>
  <c r="S158" i="71"/>
  <c r="R158" i="71"/>
  <c r="S157" i="71"/>
  <c r="R157" i="71"/>
  <c r="S156" i="71"/>
  <c r="R156" i="71"/>
  <c r="S155" i="71"/>
  <c r="R155" i="71"/>
  <c r="S154" i="71"/>
  <c r="R154" i="71"/>
  <c r="S153" i="71"/>
  <c r="R153" i="71"/>
  <c r="S152" i="71"/>
  <c r="R152" i="71"/>
  <c r="S151" i="71"/>
  <c r="R151" i="71"/>
  <c r="S150" i="71"/>
  <c r="R150" i="71"/>
  <c r="S149" i="71"/>
  <c r="R149" i="71"/>
  <c r="S148" i="71"/>
  <c r="R148" i="71"/>
  <c r="S147" i="71"/>
  <c r="R147" i="71"/>
  <c r="S146" i="71"/>
  <c r="R146" i="71"/>
  <c r="S145" i="71"/>
  <c r="R145" i="71"/>
  <c r="S144" i="71"/>
  <c r="R144" i="71"/>
  <c r="S143" i="71"/>
  <c r="R143" i="71"/>
  <c r="R142" i="71"/>
  <c r="S141" i="71"/>
  <c r="R141" i="71"/>
  <c r="S140" i="71"/>
  <c r="R140" i="71"/>
  <c r="S139" i="71"/>
  <c r="R139" i="71"/>
  <c r="S138" i="71"/>
  <c r="R138" i="71"/>
  <c r="S137" i="71"/>
  <c r="R137" i="71"/>
  <c r="S136" i="71"/>
  <c r="R136" i="71"/>
  <c r="S135" i="71"/>
  <c r="R135" i="71"/>
  <c r="S134" i="71"/>
  <c r="R134" i="71"/>
  <c r="S133" i="71"/>
  <c r="R133" i="71"/>
  <c r="S132" i="71"/>
  <c r="R132" i="71"/>
  <c r="S131" i="71"/>
  <c r="R131" i="71"/>
  <c r="S130" i="71"/>
  <c r="R130" i="71"/>
  <c r="S129" i="71"/>
  <c r="R129" i="71"/>
  <c r="S128" i="71"/>
  <c r="R128" i="71"/>
  <c r="S127" i="71"/>
  <c r="R127" i="71"/>
  <c r="S126" i="71"/>
  <c r="R126" i="71"/>
  <c r="S125" i="71"/>
  <c r="R125" i="71"/>
  <c r="S124" i="71"/>
  <c r="R124" i="71"/>
  <c r="S123" i="71"/>
  <c r="R123" i="71"/>
  <c r="S122" i="71"/>
  <c r="R122" i="71"/>
  <c r="R121" i="71"/>
  <c r="S120" i="71"/>
  <c r="R120" i="71"/>
  <c r="S119" i="71"/>
  <c r="R119" i="71"/>
  <c r="S118" i="71"/>
  <c r="R118" i="71"/>
  <c r="S117" i="71"/>
  <c r="R117" i="71"/>
  <c r="S116" i="71"/>
  <c r="R116" i="71"/>
  <c r="S115" i="71"/>
  <c r="R115" i="71"/>
  <c r="S114" i="71"/>
  <c r="R114" i="71"/>
  <c r="S113" i="71"/>
  <c r="R113" i="71"/>
  <c r="S112" i="71"/>
  <c r="R112" i="71"/>
  <c r="S111" i="71"/>
  <c r="R111" i="71"/>
  <c r="S110" i="71"/>
  <c r="R110" i="71"/>
  <c r="S109" i="71"/>
  <c r="R109" i="71"/>
  <c r="S108" i="71"/>
  <c r="R108" i="71"/>
  <c r="S107" i="71"/>
  <c r="R107" i="71"/>
  <c r="S106" i="71"/>
  <c r="R106" i="71"/>
  <c r="S105" i="71"/>
  <c r="R105" i="71"/>
  <c r="S104" i="71"/>
  <c r="R104" i="71"/>
  <c r="S103" i="71"/>
  <c r="R103" i="71"/>
  <c r="S102" i="71"/>
  <c r="R102" i="71"/>
  <c r="S101" i="71"/>
  <c r="R101" i="71"/>
  <c r="R100" i="71"/>
  <c r="S99" i="71"/>
  <c r="R99" i="71"/>
  <c r="S98" i="71"/>
  <c r="R98" i="71"/>
  <c r="S97" i="71"/>
  <c r="R97" i="71"/>
  <c r="S96" i="71"/>
  <c r="R96" i="71"/>
  <c r="S95" i="71"/>
  <c r="R95" i="71"/>
  <c r="S94" i="71"/>
  <c r="R94" i="71"/>
  <c r="S93" i="71"/>
  <c r="R93" i="71"/>
  <c r="S92" i="71"/>
  <c r="R92" i="71"/>
  <c r="S91" i="71"/>
  <c r="R91" i="71"/>
  <c r="S90" i="71"/>
  <c r="R90" i="71"/>
  <c r="S89" i="71"/>
  <c r="R89" i="71"/>
  <c r="S88" i="71"/>
  <c r="R88" i="71"/>
  <c r="S87" i="71"/>
  <c r="R87" i="71"/>
  <c r="S86" i="71"/>
  <c r="R86" i="71"/>
  <c r="S85" i="71"/>
  <c r="R85" i="71"/>
  <c r="S84" i="71"/>
  <c r="R84" i="71"/>
  <c r="S83" i="71"/>
  <c r="R83" i="71"/>
  <c r="S82" i="71"/>
  <c r="R82" i="71"/>
  <c r="S81" i="71"/>
  <c r="R81" i="71"/>
  <c r="S80" i="71"/>
  <c r="R80" i="71"/>
  <c r="R79" i="71"/>
  <c r="S78" i="71"/>
  <c r="R78" i="71"/>
  <c r="S77" i="71"/>
  <c r="R77" i="71"/>
  <c r="S76" i="71"/>
  <c r="R76" i="71"/>
  <c r="S75" i="71"/>
  <c r="R75" i="71"/>
  <c r="S74" i="71"/>
  <c r="R74" i="71"/>
  <c r="S73" i="71"/>
  <c r="R73" i="71"/>
  <c r="S72" i="71"/>
  <c r="R72" i="71"/>
  <c r="S71" i="71"/>
  <c r="R71" i="71"/>
  <c r="S70" i="71"/>
  <c r="R70" i="71"/>
  <c r="S69" i="71"/>
  <c r="R69" i="71"/>
  <c r="S68" i="71"/>
  <c r="R68" i="71"/>
  <c r="S67" i="71"/>
  <c r="R67" i="71"/>
  <c r="S66" i="71"/>
  <c r="R66" i="71"/>
  <c r="S65" i="71"/>
  <c r="R65" i="71"/>
  <c r="S64" i="71"/>
  <c r="R64" i="71"/>
  <c r="S63" i="71"/>
  <c r="R63" i="71"/>
  <c r="S62" i="71"/>
  <c r="R62" i="71"/>
  <c r="S61" i="71"/>
  <c r="R61" i="71"/>
  <c r="S60" i="71"/>
  <c r="R60" i="71"/>
  <c r="S59" i="71"/>
  <c r="R59" i="71"/>
  <c r="S58" i="71"/>
  <c r="R58" i="71"/>
  <c r="S57" i="71"/>
  <c r="R57" i="71"/>
  <c r="S56" i="71"/>
  <c r="R56" i="71"/>
  <c r="S55" i="71"/>
  <c r="R55" i="71"/>
  <c r="S54" i="71"/>
  <c r="R54" i="71"/>
  <c r="S53" i="71"/>
  <c r="R53" i="71"/>
  <c r="S52" i="71"/>
  <c r="R52" i="71"/>
  <c r="S51" i="71"/>
  <c r="R51" i="71"/>
  <c r="S50" i="71"/>
  <c r="R50" i="71"/>
  <c r="S49" i="71"/>
  <c r="R49" i="71"/>
  <c r="S48" i="71"/>
  <c r="R48" i="71"/>
  <c r="S47" i="71"/>
  <c r="R47" i="71"/>
  <c r="S46" i="71"/>
  <c r="R46" i="71"/>
  <c r="S45" i="71"/>
  <c r="R45" i="71"/>
  <c r="S44" i="71"/>
  <c r="R44" i="71"/>
  <c r="S43" i="71"/>
  <c r="R43" i="71"/>
  <c r="S42" i="71"/>
  <c r="R42" i="71"/>
  <c r="S41" i="71"/>
  <c r="R41" i="71"/>
  <c r="S40" i="71"/>
  <c r="R40" i="71"/>
  <c r="S39" i="71"/>
  <c r="R39" i="71"/>
  <c r="S38" i="71"/>
  <c r="R38" i="71"/>
  <c r="S37" i="71"/>
  <c r="R37" i="71"/>
  <c r="S36" i="71"/>
  <c r="R36" i="71"/>
  <c r="S35" i="71"/>
  <c r="R35" i="71"/>
  <c r="S34" i="71"/>
  <c r="R34" i="71"/>
  <c r="S33" i="71"/>
  <c r="R33" i="71"/>
  <c r="S32" i="71"/>
  <c r="R32" i="71"/>
  <c r="R31" i="71"/>
  <c r="S30" i="71"/>
  <c r="R30" i="71"/>
  <c r="S29" i="71"/>
  <c r="R29" i="71"/>
  <c r="S28" i="71"/>
  <c r="R28" i="71"/>
  <c r="S27" i="71"/>
  <c r="R27" i="71"/>
  <c r="S26" i="71"/>
  <c r="R26" i="71"/>
  <c r="S25" i="71"/>
  <c r="R25" i="71"/>
  <c r="S24" i="71"/>
  <c r="R24" i="71"/>
  <c r="S23" i="71"/>
  <c r="R23" i="71"/>
  <c r="S22" i="71"/>
  <c r="R22" i="71"/>
  <c r="S21" i="71"/>
  <c r="R21" i="71"/>
  <c r="S20" i="71"/>
  <c r="R20" i="71"/>
  <c r="S19" i="71"/>
  <c r="R19" i="71"/>
  <c r="S18" i="71"/>
  <c r="R18" i="71"/>
  <c r="S17" i="71"/>
  <c r="R17" i="71"/>
  <c r="S16" i="71"/>
  <c r="R16" i="71"/>
  <c r="S15" i="71"/>
  <c r="R15" i="71"/>
  <c r="S14" i="71"/>
  <c r="R14" i="71"/>
  <c r="S13" i="71"/>
  <c r="R13" i="71"/>
  <c r="S12" i="71"/>
  <c r="R12" i="71"/>
  <c r="S11" i="71"/>
  <c r="R11" i="71"/>
  <c r="S10" i="71"/>
  <c r="R10" i="71"/>
  <c r="S9" i="71"/>
  <c r="R9" i="71"/>
  <c r="S8" i="71"/>
  <c r="R8" i="71"/>
  <c r="S7" i="71"/>
  <c r="R7" i="71"/>
  <c r="S6" i="71"/>
  <c r="R6" i="71"/>
  <c r="R7" i="70"/>
  <c r="S7" i="70"/>
  <c r="R8" i="70"/>
  <c r="S8" i="70"/>
  <c r="R9" i="70"/>
  <c r="S9" i="70"/>
  <c r="R10" i="70"/>
  <c r="S10" i="70"/>
  <c r="R11" i="70"/>
  <c r="S11" i="70"/>
  <c r="R12" i="70"/>
  <c r="S12" i="70"/>
  <c r="R13" i="70"/>
  <c r="S13" i="70"/>
  <c r="R14" i="70"/>
  <c r="S14" i="70"/>
  <c r="R15" i="70"/>
  <c r="S15" i="70"/>
  <c r="R16" i="70"/>
  <c r="S16" i="70"/>
  <c r="R17" i="70"/>
  <c r="S17" i="70"/>
  <c r="R18" i="70"/>
  <c r="S18" i="70"/>
  <c r="R19" i="70"/>
  <c r="S19" i="70"/>
  <c r="R20" i="70"/>
  <c r="S20" i="70"/>
  <c r="R21" i="70"/>
  <c r="S21" i="70"/>
  <c r="R22" i="70"/>
  <c r="S22" i="70"/>
  <c r="R23" i="70"/>
  <c r="S23" i="70"/>
  <c r="R24" i="70"/>
  <c r="S24" i="70"/>
  <c r="R25" i="70"/>
  <c r="S25" i="70"/>
  <c r="R26" i="70"/>
  <c r="S26" i="70"/>
  <c r="R27" i="70"/>
  <c r="S27" i="70"/>
  <c r="R28" i="70"/>
  <c r="S28" i="70"/>
  <c r="R29" i="70"/>
  <c r="S29" i="70"/>
  <c r="R30" i="70"/>
  <c r="S30" i="70"/>
  <c r="R31" i="70"/>
  <c r="R32" i="70"/>
  <c r="S32" i="70"/>
  <c r="R33" i="70"/>
  <c r="S33" i="70"/>
  <c r="R34" i="70"/>
  <c r="S34" i="70"/>
  <c r="R35" i="70"/>
  <c r="S35" i="70"/>
  <c r="R36" i="70"/>
  <c r="S36" i="70"/>
  <c r="R37" i="70"/>
  <c r="S37" i="70"/>
  <c r="R38" i="70"/>
  <c r="S38" i="70"/>
  <c r="R39" i="70"/>
  <c r="S39" i="70"/>
  <c r="R40" i="70"/>
  <c r="S40" i="70"/>
  <c r="R41" i="70"/>
  <c r="S41" i="70"/>
  <c r="R42" i="70"/>
  <c r="S42" i="70"/>
  <c r="R43" i="70"/>
  <c r="S43" i="70"/>
  <c r="R44" i="70"/>
  <c r="S44" i="70"/>
  <c r="R45" i="70"/>
  <c r="S45" i="70"/>
  <c r="R46" i="70"/>
  <c r="S46" i="70"/>
  <c r="R47" i="70"/>
  <c r="S47" i="70"/>
  <c r="R48" i="70"/>
  <c r="S48" i="70"/>
  <c r="R49" i="70"/>
  <c r="S49" i="70"/>
  <c r="R50" i="70"/>
  <c r="S50" i="70"/>
  <c r="R51" i="70"/>
  <c r="S51" i="70"/>
  <c r="R52" i="70"/>
  <c r="S52" i="70"/>
  <c r="R53" i="70"/>
  <c r="S53" i="70"/>
  <c r="R54" i="70"/>
  <c r="S54" i="70"/>
  <c r="R55" i="70"/>
  <c r="S55" i="70"/>
  <c r="R56" i="70"/>
  <c r="S56" i="70"/>
  <c r="R57" i="70"/>
  <c r="R58" i="70"/>
  <c r="S58" i="70"/>
  <c r="R59" i="70"/>
  <c r="S59" i="70"/>
  <c r="R60" i="70"/>
  <c r="S60" i="70"/>
  <c r="R61" i="70"/>
  <c r="S61" i="70"/>
  <c r="R62" i="70"/>
  <c r="S62" i="70"/>
  <c r="R63" i="70"/>
  <c r="S63" i="70"/>
  <c r="R64" i="70"/>
  <c r="S64" i="70"/>
  <c r="R65" i="70"/>
  <c r="S65" i="70"/>
  <c r="R66" i="70"/>
  <c r="S66" i="70"/>
  <c r="R67" i="70"/>
  <c r="S67" i="70"/>
  <c r="R68" i="70"/>
  <c r="S68" i="70"/>
  <c r="R69" i="70"/>
  <c r="S69" i="70"/>
  <c r="R70" i="70"/>
  <c r="S70" i="70"/>
  <c r="R71" i="70"/>
  <c r="S71" i="70"/>
  <c r="R72" i="70"/>
  <c r="S72" i="70"/>
  <c r="R73" i="70"/>
  <c r="S73" i="70"/>
  <c r="R74" i="70"/>
  <c r="S74" i="70"/>
  <c r="R75" i="70"/>
  <c r="S75" i="70"/>
  <c r="R76" i="70"/>
  <c r="S76" i="70"/>
  <c r="R77" i="70"/>
  <c r="S77" i="70"/>
  <c r="R78" i="70"/>
  <c r="R79" i="70"/>
  <c r="S79" i="70"/>
  <c r="R80" i="70"/>
  <c r="S80" i="70"/>
  <c r="R81" i="70"/>
  <c r="S81" i="70"/>
  <c r="R82" i="70"/>
  <c r="S82" i="70"/>
  <c r="R83" i="70"/>
  <c r="S83" i="70"/>
  <c r="R84" i="70"/>
  <c r="S84" i="70"/>
  <c r="R85" i="70"/>
  <c r="S85" i="70"/>
  <c r="R86" i="70"/>
  <c r="S86" i="70"/>
  <c r="R87" i="70"/>
  <c r="S87" i="70"/>
  <c r="R88" i="70"/>
  <c r="S88" i="70"/>
  <c r="R89" i="70"/>
  <c r="S89" i="70"/>
  <c r="R90" i="70"/>
  <c r="S90" i="70"/>
  <c r="R91" i="70"/>
  <c r="S91" i="70"/>
  <c r="R92" i="70"/>
  <c r="S92" i="70"/>
  <c r="R93" i="70"/>
  <c r="S93" i="70"/>
  <c r="R94" i="70"/>
  <c r="S94" i="70"/>
  <c r="R95" i="70"/>
  <c r="S95" i="70"/>
  <c r="R96" i="70"/>
  <c r="S96" i="70"/>
  <c r="R97" i="70"/>
  <c r="S97" i="70"/>
  <c r="R98" i="70"/>
  <c r="S98" i="70"/>
  <c r="R99" i="70"/>
  <c r="R100" i="70"/>
  <c r="S100" i="70"/>
  <c r="R101" i="70"/>
  <c r="S101" i="70"/>
  <c r="R102" i="70"/>
  <c r="S102" i="70"/>
  <c r="R103" i="70"/>
  <c r="S103" i="70"/>
  <c r="R104" i="70"/>
  <c r="S104" i="70"/>
  <c r="R105" i="70"/>
  <c r="S105" i="70"/>
  <c r="R106" i="70"/>
  <c r="S106" i="70"/>
  <c r="R107" i="70"/>
  <c r="S107" i="70"/>
  <c r="R108" i="70"/>
  <c r="S108" i="70"/>
  <c r="R109" i="70"/>
  <c r="S109" i="70"/>
  <c r="R110" i="70"/>
  <c r="S110" i="70"/>
  <c r="R111" i="70"/>
  <c r="S111" i="70"/>
  <c r="R112" i="70"/>
  <c r="S112" i="70"/>
  <c r="R113" i="70"/>
  <c r="S113" i="70"/>
  <c r="R114" i="70"/>
  <c r="S114" i="70"/>
  <c r="R115" i="70"/>
  <c r="S115" i="70"/>
  <c r="R116" i="70"/>
  <c r="S116" i="70"/>
  <c r="R117" i="70"/>
  <c r="S117" i="70"/>
  <c r="R118" i="70"/>
  <c r="S118" i="70"/>
  <c r="R119" i="70"/>
  <c r="S119" i="70"/>
  <c r="R120" i="70"/>
  <c r="R121" i="70"/>
  <c r="S121" i="70"/>
  <c r="R122" i="70"/>
  <c r="S122" i="70"/>
  <c r="R123" i="70"/>
  <c r="S123" i="70"/>
  <c r="R124" i="70"/>
  <c r="S124" i="70"/>
  <c r="R125" i="70"/>
  <c r="S125" i="70"/>
  <c r="R126" i="70"/>
  <c r="S126" i="70"/>
  <c r="R127" i="70"/>
  <c r="S127" i="70"/>
  <c r="R128" i="70"/>
  <c r="S128" i="70"/>
  <c r="R129" i="70"/>
  <c r="S129" i="70"/>
  <c r="R130" i="70"/>
  <c r="S130" i="70"/>
  <c r="R131" i="70"/>
  <c r="S131" i="70"/>
  <c r="R132" i="70"/>
  <c r="S132" i="70"/>
  <c r="R133" i="70"/>
  <c r="S133" i="70"/>
  <c r="R134" i="70"/>
  <c r="S134" i="70"/>
  <c r="R135" i="70"/>
  <c r="S135" i="70"/>
  <c r="R136" i="70"/>
  <c r="S136" i="70"/>
  <c r="R137" i="70"/>
  <c r="S137" i="70"/>
  <c r="R138" i="70"/>
  <c r="S138" i="70"/>
  <c r="R139" i="70"/>
  <c r="S139" i="70"/>
  <c r="R140" i="70"/>
  <c r="S140" i="70"/>
  <c r="R141" i="70"/>
  <c r="R142" i="70"/>
  <c r="S142" i="70"/>
  <c r="R143" i="70"/>
  <c r="S143" i="70"/>
  <c r="R144" i="70"/>
  <c r="S144" i="70"/>
  <c r="R145" i="70"/>
  <c r="S145" i="70"/>
  <c r="R146" i="70"/>
  <c r="S146" i="70"/>
  <c r="R147" i="70"/>
  <c r="S147" i="70"/>
  <c r="R148" i="70"/>
  <c r="S148" i="70"/>
  <c r="R149" i="70"/>
  <c r="S149" i="70"/>
  <c r="R150" i="70"/>
  <c r="S150" i="70"/>
  <c r="R151" i="70"/>
  <c r="S151" i="70"/>
  <c r="R152" i="70"/>
  <c r="S152" i="70"/>
  <c r="R153" i="70"/>
  <c r="S153" i="70"/>
  <c r="R154" i="70"/>
  <c r="S154" i="70"/>
  <c r="R155" i="70"/>
  <c r="S155" i="70"/>
  <c r="R156" i="70"/>
  <c r="S156" i="70"/>
  <c r="R157" i="70"/>
  <c r="S157" i="70"/>
  <c r="R158" i="70"/>
  <c r="S158" i="70"/>
  <c r="R159" i="70"/>
  <c r="S159" i="70"/>
  <c r="R160" i="70"/>
  <c r="S160" i="70"/>
  <c r="R161" i="70"/>
  <c r="S161" i="70"/>
  <c r="R162" i="70"/>
  <c r="R163" i="70"/>
  <c r="S163" i="70"/>
  <c r="R164" i="70"/>
  <c r="S164" i="70"/>
  <c r="R165" i="70"/>
  <c r="S165" i="70"/>
  <c r="R166" i="70"/>
  <c r="S166" i="70"/>
  <c r="R167" i="70"/>
  <c r="S167" i="70"/>
  <c r="R168" i="70"/>
  <c r="S168" i="70"/>
  <c r="R169" i="70"/>
  <c r="S169" i="70"/>
  <c r="R170" i="70"/>
  <c r="S170" i="70"/>
  <c r="R171" i="70"/>
  <c r="S171" i="70"/>
  <c r="R172" i="70"/>
  <c r="S172" i="70"/>
  <c r="R173" i="70"/>
  <c r="S173" i="70"/>
  <c r="R174" i="70"/>
  <c r="S174" i="70"/>
  <c r="R175" i="70"/>
  <c r="S175" i="70"/>
  <c r="R176" i="70"/>
  <c r="S176" i="70"/>
  <c r="R177" i="70"/>
  <c r="S177" i="70"/>
  <c r="R178" i="70"/>
  <c r="S178" i="70"/>
  <c r="R179" i="70"/>
  <c r="S179" i="70"/>
  <c r="R180" i="70"/>
  <c r="S180" i="70"/>
  <c r="R181" i="70"/>
  <c r="S181" i="70"/>
  <c r="R182" i="70"/>
  <c r="S182" i="70"/>
  <c r="R183" i="70"/>
  <c r="R184" i="70"/>
  <c r="S184" i="70"/>
  <c r="R185" i="70"/>
  <c r="S185" i="70"/>
  <c r="R186" i="70"/>
  <c r="S186" i="70"/>
  <c r="R187" i="70"/>
  <c r="S187" i="70"/>
  <c r="R188" i="70"/>
  <c r="S188" i="70"/>
  <c r="R189" i="70"/>
  <c r="S189" i="70"/>
  <c r="R190" i="70"/>
  <c r="S190" i="70"/>
  <c r="R191" i="70"/>
  <c r="S191" i="70"/>
  <c r="R192" i="70"/>
  <c r="S192" i="70"/>
  <c r="R193" i="70"/>
  <c r="S193" i="70"/>
  <c r="R194" i="70"/>
  <c r="S194" i="70"/>
  <c r="R195" i="70"/>
  <c r="S195" i="70"/>
  <c r="R196" i="70"/>
  <c r="S196" i="70"/>
  <c r="R197" i="70"/>
  <c r="S197" i="70"/>
  <c r="R198" i="70"/>
  <c r="S198" i="70"/>
  <c r="R199" i="70"/>
  <c r="S199" i="70"/>
  <c r="R200" i="70"/>
  <c r="S200" i="70"/>
  <c r="R201" i="70"/>
  <c r="S201" i="70"/>
  <c r="R202" i="70"/>
  <c r="S202" i="70"/>
  <c r="R203" i="70"/>
  <c r="S203" i="70"/>
  <c r="R204" i="70"/>
  <c r="R205" i="70"/>
  <c r="S205" i="70"/>
  <c r="R206" i="70"/>
  <c r="S206" i="70"/>
  <c r="R207" i="70"/>
  <c r="S207" i="70"/>
  <c r="R208" i="70"/>
  <c r="S208" i="70"/>
  <c r="R209" i="70"/>
  <c r="S209" i="70"/>
  <c r="R210" i="70"/>
  <c r="S210" i="70"/>
  <c r="R211" i="70"/>
  <c r="S211" i="70"/>
  <c r="R212" i="70"/>
  <c r="S212" i="70"/>
  <c r="R213" i="70"/>
  <c r="S213" i="70"/>
  <c r="R214" i="70"/>
  <c r="S214" i="70"/>
  <c r="R215" i="70"/>
  <c r="S215" i="70"/>
  <c r="R216" i="70"/>
  <c r="S216" i="70"/>
  <c r="R217" i="70"/>
  <c r="S217" i="70"/>
  <c r="R218" i="70"/>
  <c r="S218" i="70"/>
  <c r="R219" i="70"/>
  <c r="S219" i="70"/>
  <c r="R220" i="70"/>
  <c r="S220" i="70"/>
  <c r="R221" i="70"/>
  <c r="S221" i="70"/>
  <c r="R222" i="70"/>
  <c r="S222" i="70"/>
  <c r="R223" i="70"/>
  <c r="S223" i="70"/>
  <c r="R224" i="70"/>
  <c r="S224" i="70"/>
  <c r="R225" i="70"/>
  <c r="R226" i="70"/>
  <c r="S226" i="70"/>
  <c r="R227" i="70"/>
  <c r="S227" i="70"/>
  <c r="R228" i="70"/>
  <c r="S228" i="70"/>
  <c r="R229" i="70"/>
  <c r="S229" i="70"/>
  <c r="R230" i="70"/>
  <c r="S230" i="70"/>
  <c r="R231" i="70"/>
  <c r="S231" i="70"/>
  <c r="R232" i="70"/>
  <c r="S232" i="70"/>
  <c r="R233" i="70"/>
  <c r="S233" i="70"/>
  <c r="R234" i="70"/>
  <c r="S234" i="70"/>
  <c r="R235" i="70"/>
  <c r="S235" i="70"/>
  <c r="R236" i="70"/>
  <c r="S236" i="70"/>
  <c r="R237" i="70"/>
  <c r="S237" i="70"/>
  <c r="R238" i="70"/>
  <c r="S238" i="70"/>
  <c r="R239" i="70"/>
  <c r="S239" i="70"/>
  <c r="R240" i="70"/>
  <c r="S240" i="70"/>
  <c r="R241" i="70"/>
  <c r="S241" i="70"/>
  <c r="R242" i="70"/>
  <c r="S242" i="70"/>
  <c r="R243" i="70"/>
  <c r="S243" i="70"/>
  <c r="R244" i="70"/>
  <c r="S244" i="70"/>
  <c r="R245" i="70"/>
  <c r="S245" i="70"/>
  <c r="R246" i="70"/>
  <c r="R247" i="70"/>
  <c r="S247" i="70"/>
  <c r="R248" i="70"/>
  <c r="S248" i="70"/>
  <c r="R249" i="70"/>
  <c r="S249" i="70"/>
  <c r="R250" i="70"/>
  <c r="S250" i="70"/>
  <c r="R251" i="70"/>
  <c r="S251" i="70"/>
  <c r="R252" i="70"/>
  <c r="S252" i="70"/>
  <c r="R253" i="70"/>
  <c r="S253" i="70"/>
  <c r="R254" i="70"/>
  <c r="S254" i="70"/>
  <c r="R255" i="70"/>
  <c r="S255" i="70"/>
  <c r="R256" i="70"/>
  <c r="S256" i="70"/>
  <c r="R257" i="70"/>
  <c r="S257" i="70"/>
  <c r="R258" i="70"/>
  <c r="S258" i="70"/>
  <c r="R259" i="70"/>
  <c r="S259" i="70"/>
  <c r="R260" i="70"/>
  <c r="S260" i="70"/>
  <c r="R261" i="70"/>
  <c r="S261" i="70"/>
  <c r="R262" i="70"/>
  <c r="S262" i="70"/>
  <c r="R263" i="70"/>
  <c r="S263" i="70"/>
  <c r="R264" i="70"/>
  <c r="S264" i="70"/>
  <c r="R265" i="70"/>
  <c r="S265" i="70"/>
  <c r="R266" i="70"/>
  <c r="S266" i="70"/>
  <c r="R267" i="70"/>
  <c r="S6" i="70"/>
  <c r="R6" i="70"/>
  <c r="I259" i="72"/>
  <c r="S259" i="72" s="1"/>
  <c r="I238" i="72"/>
  <c r="S238" i="72" s="1"/>
  <c r="I217" i="72"/>
  <c r="S217" i="72" s="1"/>
  <c r="I196" i="72"/>
  <c r="S196" i="72" s="1"/>
  <c r="I175" i="72"/>
  <c r="S175" i="72" s="1"/>
  <c r="I154" i="72"/>
  <c r="S154" i="72" s="1"/>
  <c r="I133" i="72"/>
  <c r="S133" i="72" s="1"/>
  <c r="I112" i="72"/>
  <c r="S112" i="72" s="1"/>
  <c r="I91" i="72"/>
  <c r="S91" i="72" s="1"/>
  <c r="I70" i="72"/>
  <c r="S70" i="72" s="1"/>
  <c r="I49" i="72"/>
  <c r="S49" i="72" s="1"/>
  <c r="H49" i="72"/>
  <c r="I31" i="72"/>
  <c r="S31" i="72" s="1"/>
  <c r="H31" i="72"/>
  <c r="R289" i="71"/>
  <c r="I289" i="71"/>
  <c r="S288" i="71"/>
  <c r="R288" i="71"/>
  <c r="S287" i="71"/>
  <c r="R287" i="71"/>
  <c r="S286" i="71"/>
  <c r="R286" i="71"/>
  <c r="S285" i="71"/>
  <c r="R285" i="71"/>
  <c r="S284" i="71"/>
  <c r="R284" i="71"/>
  <c r="S283" i="71"/>
  <c r="R283" i="71"/>
  <c r="S282" i="71"/>
  <c r="R282" i="71"/>
  <c r="S281" i="71"/>
  <c r="R281" i="71"/>
  <c r="S280" i="71"/>
  <c r="R280" i="71"/>
  <c r="S279" i="71"/>
  <c r="R279" i="71"/>
  <c r="S278" i="71"/>
  <c r="R278" i="71"/>
  <c r="S277" i="71"/>
  <c r="R277" i="71"/>
  <c r="S276" i="71"/>
  <c r="R276" i="71"/>
  <c r="S275" i="71"/>
  <c r="R275" i="71"/>
  <c r="S274" i="71"/>
  <c r="R274" i="71"/>
  <c r="S273" i="71"/>
  <c r="R273" i="71"/>
  <c r="S272" i="71"/>
  <c r="R272" i="71"/>
  <c r="S271" i="71"/>
  <c r="R271" i="71"/>
  <c r="S270" i="71"/>
  <c r="R270" i="71"/>
  <c r="S269" i="71"/>
  <c r="R269" i="71"/>
  <c r="R268" i="71"/>
  <c r="I268" i="71"/>
  <c r="I247" i="71"/>
  <c r="S247" i="71" s="1"/>
  <c r="I226" i="71"/>
  <c r="S226" i="71" s="1"/>
  <c r="I205" i="71"/>
  <c r="S205" i="71" s="1"/>
  <c r="I184" i="71"/>
  <c r="S184" i="71" s="1"/>
  <c r="I163" i="71"/>
  <c r="S163" i="71" s="1"/>
  <c r="I142" i="71"/>
  <c r="S142" i="71" s="1"/>
  <c r="I121" i="71"/>
  <c r="S121" i="71" s="1"/>
  <c r="I100" i="71"/>
  <c r="S100" i="71" s="1"/>
  <c r="I79" i="71"/>
  <c r="S79" i="71" s="1"/>
  <c r="I31" i="71"/>
  <c r="S31" i="71" s="1"/>
  <c r="H31" i="71"/>
  <c r="C7" i="71"/>
  <c r="C6" i="71"/>
  <c r="I267" i="70"/>
  <c r="S267" i="70" s="1"/>
  <c r="I246" i="70"/>
  <c r="S246" i="70" s="1"/>
  <c r="I225" i="70"/>
  <c r="S225" i="70" s="1"/>
  <c r="I204" i="70"/>
  <c r="S204" i="70" s="1"/>
  <c r="I183" i="70"/>
  <c r="S183" i="70" s="1"/>
  <c r="I162" i="70"/>
  <c r="S162" i="70" s="1"/>
  <c r="I141" i="70"/>
  <c r="S141" i="70" s="1"/>
  <c r="I120" i="70"/>
  <c r="S120" i="70" s="1"/>
  <c r="I99" i="70"/>
  <c r="S99" i="70" s="1"/>
  <c r="I78" i="70"/>
  <c r="S78" i="70" s="1"/>
  <c r="I57" i="70"/>
  <c r="S57" i="70" s="1"/>
  <c r="I31" i="70"/>
  <c r="S31" i="70" s="1"/>
  <c r="H31" i="70"/>
  <c r="T30" i="70"/>
  <c r="T29" i="70"/>
  <c r="T28" i="70"/>
  <c r="T27" i="70"/>
  <c r="T26" i="70"/>
  <c r="T25" i="70"/>
  <c r="T24" i="70"/>
  <c r="T23" i="70"/>
  <c r="T22" i="70"/>
  <c r="T21" i="70"/>
  <c r="T20" i="70"/>
  <c r="T19" i="70"/>
  <c r="T18" i="70"/>
  <c r="T17" i="70"/>
  <c r="T16" i="70"/>
  <c r="T15" i="70"/>
  <c r="T14" i="70"/>
  <c r="T13" i="70"/>
  <c r="T12" i="70"/>
  <c r="T11" i="70"/>
  <c r="T10" i="70"/>
  <c r="T9" i="70"/>
  <c r="O258" i="69"/>
  <c r="G258" i="69"/>
  <c r="P257" i="69"/>
  <c r="O257" i="69"/>
  <c r="P256" i="69"/>
  <c r="O256" i="69"/>
  <c r="P255" i="69"/>
  <c r="O255" i="69"/>
  <c r="P254" i="69"/>
  <c r="O254" i="69"/>
  <c r="P253" i="69"/>
  <c r="O253" i="69"/>
  <c r="P252" i="69"/>
  <c r="O252" i="69"/>
  <c r="P251" i="69"/>
  <c r="O251" i="69"/>
  <c r="P250" i="69"/>
  <c r="O250" i="69"/>
  <c r="P249" i="69"/>
  <c r="O249" i="69"/>
  <c r="P248" i="69"/>
  <c r="O248" i="69"/>
  <c r="P247" i="69"/>
  <c r="O247" i="69"/>
  <c r="P246" i="69"/>
  <c r="O246" i="69"/>
  <c r="P245" i="69"/>
  <c r="O245" i="69"/>
  <c r="P244" i="69"/>
  <c r="O244" i="69"/>
  <c r="P243" i="69"/>
  <c r="O243" i="69"/>
  <c r="P242" i="69"/>
  <c r="O242" i="69"/>
  <c r="P241" i="69"/>
  <c r="O241" i="69"/>
  <c r="P240" i="69"/>
  <c r="O240" i="69"/>
  <c r="P239" i="69"/>
  <c r="O239" i="69"/>
  <c r="P238" i="69"/>
  <c r="O238" i="69"/>
  <c r="O237" i="69"/>
  <c r="G237" i="69"/>
  <c r="P236" i="69"/>
  <c r="O236" i="69"/>
  <c r="P235" i="69"/>
  <c r="O235" i="69"/>
  <c r="P234" i="69"/>
  <c r="O234" i="69"/>
  <c r="P233" i="69"/>
  <c r="O233" i="69"/>
  <c r="P232" i="69"/>
  <c r="O232" i="69"/>
  <c r="P231" i="69"/>
  <c r="O231" i="69"/>
  <c r="P230" i="69"/>
  <c r="O230" i="69"/>
  <c r="P229" i="69"/>
  <c r="O229" i="69"/>
  <c r="P228" i="69"/>
  <c r="O228" i="69"/>
  <c r="P227" i="69"/>
  <c r="O227" i="69"/>
  <c r="P226" i="69"/>
  <c r="O226" i="69"/>
  <c r="P225" i="69"/>
  <c r="O225" i="69"/>
  <c r="P224" i="69"/>
  <c r="O224" i="69"/>
  <c r="P223" i="69"/>
  <c r="O223" i="69"/>
  <c r="P222" i="69"/>
  <c r="O222" i="69"/>
  <c r="P221" i="69"/>
  <c r="O221" i="69"/>
  <c r="P220" i="69"/>
  <c r="O220" i="69"/>
  <c r="P219" i="69"/>
  <c r="O219" i="69"/>
  <c r="P218" i="69"/>
  <c r="O218" i="69"/>
  <c r="P217" i="69"/>
  <c r="O217" i="69"/>
  <c r="O216" i="69"/>
  <c r="G216" i="69"/>
  <c r="P215" i="69"/>
  <c r="O215" i="69"/>
  <c r="P214" i="69"/>
  <c r="O214" i="69"/>
  <c r="P213" i="69"/>
  <c r="O213" i="69"/>
  <c r="P212" i="69"/>
  <c r="O212" i="69"/>
  <c r="P211" i="69"/>
  <c r="O211" i="69"/>
  <c r="P210" i="69"/>
  <c r="O210" i="69"/>
  <c r="P209" i="69"/>
  <c r="O209" i="69"/>
  <c r="P208" i="69"/>
  <c r="O208" i="69"/>
  <c r="P207" i="69"/>
  <c r="O207" i="69"/>
  <c r="P206" i="69"/>
  <c r="O206" i="69"/>
  <c r="P205" i="69"/>
  <c r="O205" i="69"/>
  <c r="P204" i="69"/>
  <c r="O204" i="69"/>
  <c r="P203" i="69"/>
  <c r="O203" i="69"/>
  <c r="P202" i="69"/>
  <c r="O202" i="69"/>
  <c r="P201" i="69"/>
  <c r="O201" i="69"/>
  <c r="P200" i="69"/>
  <c r="O200" i="69"/>
  <c r="P199" i="69"/>
  <c r="O199" i="69"/>
  <c r="P198" i="69"/>
  <c r="O198" i="69"/>
  <c r="P197" i="69"/>
  <c r="O197" i="69"/>
  <c r="P196" i="69"/>
  <c r="O196" i="69"/>
  <c r="O195" i="69"/>
  <c r="G195" i="69"/>
  <c r="P194" i="69"/>
  <c r="O194" i="69"/>
  <c r="P193" i="69"/>
  <c r="O193" i="69"/>
  <c r="P192" i="69"/>
  <c r="O192" i="69"/>
  <c r="P191" i="69"/>
  <c r="O191" i="69"/>
  <c r="P190" i="69"/>
  <c r="O190" i="69"/>
  <c r="P189" i="69"/>
  <c r="O189" i="69"/>
  <c r="P188" i="69"/>
  <c r="O188" i="69"/>
  <c r="P187" i="69"/>
  <c r="O187" i="69"/>
  <c r="P186" i="69"/>
  <c r="O186" i="69"/>
  <c r="P185" i="69"/>
  <c r="O185" i="69"/>
  <c r="P184" i="69"/>
  <c r="O184" i="69"/>
  <c r="P183" i="69"/>
  <c r="O183" i="69"/>
  <c r="P182" i="69"/>
  <c r="O182" i="69"/>
  <c r="P181" i="69"/>
  <c r="O181" i="69"/>
  <c r="P180" i="69"/>
  <c r="O180" i="69"/>
  <c r="P179" i="69"/>
  <c r="O179" i="69"/>
  <c r="P178" i="69"/>
  <c r="O178" i="69"/>
  <c r="P177" i="69"/>
  <c r="O177" i="69"/>
  <c r="P176" i="69"/>
  <c r="O176" i="69"/>
  <c r="P175" i="69"/>
  <c r="O175" i="69"/>
  <c r="O174" i="69"/>
  <c r="G174" i="69"/>
  <c r="P173" i="69"/>
  <c r="O173" i="69"/>
  <c r="P172" i="69"/>
  <c r="O172" i="69"/>
  <c r="P171" i="69"/>
  <c r="O171" i="69"/>
  <c r="P170" i="69"/>
  <c r="O170" i="69"/>
  <c r="P169" i="69"/>
  <c r="O169" i="69"/>
  <c r="P168" i="69"/>
  <c r="O168" i="69"/>
  <c r="P167" i="69"/>
  <c r="O167" i="69"/>
  <c r="P166" i="69"/>
  <c r="O166" i="69"/>
  <c r="P165" i="69"/>
  <c r="O165" i="69"/>
  <c r="P164" i="69"/>
  <c r="O164" i="69"/>
  <c r="P163" i="69"/>
  <c r="O163" i="69"/>
  <c r="P162" i="69"/>
  <c r="O162" i="69"/>
  <c r="P161" i="69"/>
  <c r="O161" i="69"/>
  <c r="P160" i="69"/>
  <c r="O160" i="69"/>
  <c r="P159" i="69"/>
  <c r="O159" i="69"/>
  <c r="P158" i="69"/>
  <c r="O158" i="69"/>
  <c r="P157" i="69"/>
  <c r="O157" i="69"/>
  <c r="P156" i="69"/>
  <c r="O156" i="69"/>
  <c r="P155" i="69"/>
  <c r="O155" i="69"/>
  <c r="P154" i="69"/>
  <c r="O154" i="69"/>
  <c r="O153" i="69"/>
  <c r="G153" i="69"/>
  <c r="P152" i="69"/>
  <c r="O152" i="69"/>
  <c r="P151" i="69"/>
  <c r="O151" i="69"/>
  <c r="P150" i="69"/>
  <c r="O150" i="69"/>
  <c r="P149" i="69"/>
  <c r="O149" i="69"/>
  <c r="P148" i="69"/>
  <c r="O148" i="69"/>
  <c r="P147" i="69"/>
  <c r="O147" i="69"/>
  <c r="P146" i="69"/>
  <c r="O146" i="69"/>
  <c r="P145" i="69"/>
  <c r="O145" i="69"/>
  <c r="P144" i="69"/>
  <c r="O144" i="69"/>
  <c r="P143" i="69"/>
  <c r="O143" i="69"/>
  <c r="P142" i="69"/>
  <c r="O142" i="69"/>
  <c r="P141" i="69"/>
  <c r="O141" i="69"/>
  <c r="P140" i="69"/>
  <c r="O140" i="69"/>
  <c r="P139" i="69"/>
  <c r="O139" i="69"/>
  <c r="P138" i="69"/>
  <c r="O138" i="69"/>
  <c r="P137" i="69"/>
  <c r="O137" i="69"/>
  <c r="P136" i="69"/>
  <c r="O136" i="69"/>
  <c r="P135" i="69"/>
  <c r="O135" i="69"/>
  <c r="P134" i="69"/>
  <c r="O134" i="69"/>
  <c r="P133" i="69"/>
  <c r="O133" i="69"/>
  <c r="O132" i="69"/>
  <c r="G132" i="69"/>
  <c r="P131" i="69"/>
  <c r="O131" i="69"/>
  <c r="P130" i="69"/>
  <c r="O130" i="69"/>
  <c r="P129" i="69"/>
  <c r="O129" i="69"/>
  <c r="P128" i="69"/>
  <c r="O128" i="69"/>
  <c r="P127" i="69"/>
  <c r="O127" i="69"/>
  <c r="P126" i="69"/>
  <c r="O126" i="69"/>
  <c r="P125" i="69"/>
  <c r="O125" i="69"/>
  <c r="P124" i="69"/>
  <c r="O124" i="69"/>
  <c r="P123" i="69"/>
  <c r="O123" i="69"/>
  <c r="P122" i="69"/>
  <c r="O122" i="69"/>
  <c r="P121" i="69"/>
  <c r="O121" i="69"/>
  <c r="P120" i="69"/>
  <c r="O120" i="69"/>
  <c r="P119" i="69"/>
  <c r="O119" i="69"/>
  <c r="P118" i="69"/>
  <c r="O118" i="69"/>
  <c r="P117" i="69"/>
  <c r="O117" i="69"/>
  <c r="P116" i="69"/>
  <c r="O116" i="69"/>
  <c r="P115" i="69"/>
  <c r="O115" i="69"/>
  <c r="P114" i="69"/>
  <c r="O114" i="69"/>
  <c r="P113" i="69"/>
  <c r="O113" i="69"/>
  <c r="P112" i="69"/>
  <c r="O112" i="69"/>
  <c r="O111" i="69"/>
  <c r="G111" i="69"/>
  <c r="P110" i="69"/>
  <c r="O110" i="69"/>
  <c r="P109" i="69"/>
  <c r="O109" i="69"/>
  <c r="P108" i="69"/>
  <c r="O108" i="69"/>
  <c r="P107" i="69"/>
  <c r="O107" i="69"/>
  <c r="P106" i="69"/>
  <c r="O106" i="69"/>
  <c r="P105" i="69"/>
  <c r="O105" i="69"/>
  <c r="P104" i="69"/>
  <c r="O104" i="69"/>
  <c r="P103" i="69"/>
  <c r="O103" i="69"/>
  <c r="P102" i="69"/>
  <c r="O102" i="69"/>
  <c r="P101" i="69"/>
  <c r="O101" i="69"/>
  <c r="P100" i="69"/>
  <c r="O100" i="69"/>
  <c r="P99" i="69"/>
  <c r="O99" i="69"/>
  <c r="P98" i="69"/>
  <c r="O98" i="69"/>
  <c r="P97" i="69"/>
  <c r="O97" i="69"/>
  <c r="P96" i="69"/>
  <c r="O96" i="69"/>
  <c r="P95" i="69"/>
  <c r="O95" i="69"/>
  <c r="P94" i="69"/>
  <c r="O94" i="69"/>
  <c r="P93" i="69"/>
  <c r="O93" i="69"/>
  <c r="P92" i="69"/>
  <c r="O92" i="69"/>
  <c r="P91" i="69"/>
  <c r="O91" i="69"/>
  <c r="O90" i="69"/>
  <c r="G90" i="69"/>
  <c r="P89" i="69"/>
  <c r="O89" i="69"/>
  <c r="P88" i="69"/>
  <c r="O88" i="69"/>
  <c r="P87" i="69"/>
  <c r="O87" i="69"/>
  <c r="P86" i="69"/>
  <c r="O86" i="69"/>
  <c r="P85" i="69"/>
  <c r="O85" i="69"/>
  <c r="P84" i="69"/>
  <c r="O84" i="69"/>
  <c r="P83" i="69"/>
  <c r="O83" i="69"/>
  <c r="P82" i="69"/>
  <c r="O82" i="69"/>
  <c r="P81" i="69"/>
  <c r="O81" i="69"/>
  <c r="P80" i="69"/>
  <c r="O80" i="69"/>
  <c r="P79" i="69"/>
  <c r="O79" i="69"/>
  <c r="P78" i="69"/>
  <c r="O78" i="69"/>
  <c r="P77" i="69"/>
  <c r="O77" i="69"/>
  <c r="P76" i="69"/>
  <c r="O76" i="69"/>
  <c r="P75" i="69"/>
  <c r="O75" i="69"/>
  <c r="P74" i="69"/>
  <c r="O74" i="69"/>
  <c r="P73" i="69"/>
  <c r="O73" i="69"/>
  <c r="P72" i="69"/>
  <c r="O72" i="69"/>
  <c r="P71" i="69"/>
  <c r="O71" i="69"/>
  <c r="P70" i="69"/>
  <c r="O70" i="69"/>
  <c r="O69" i="69"/>
  <c r="G69" i="69"/>
  <c r="P68" i="69"/>
  <c r="O68" i="69"/>
  <c r="P67" i="69"/>
  <c r="O67" i="69"/>
  <c r="P66" i="69"/>
  <c r="O66" i="69"/>
  <c r="P65" i="69"/>
  <c r="O65" i="69"/>
  <c r="P64" i="69"/>
  <c r="O64" i="69"/>
  <c r="P63" i="69"/>
  <c r="O63" i="69"/>
  <c r="P62" i="69"/>
  <c r="O62" i="69"/>
  <c r="P61" i="69"/>
  <c r="O61" i="69"/>
  <c r="P60" i="69"/>
  <c r="O60" i="69"/>
  <c r="P59" i="69"/>
  <c r="O59" i="69"/>
  <c r="P58" i="69"/>
  <c r="O58" i="69"/>
  <c r="P57" i="69"/>
  <c r="O57" i="69"/>
  <c r="P56" i="69"/>
  <c r="O56" i="69"/>
  <c r="P55" i="69"/>
  <c r="O55" i="69"/>
  <c r="P54" i="69"/>
  <c r="O54" i="69"/>
  <c r="P53" i="69"/>
  <c r="O53" i="69"/>
  <c r="P52" i="69"/>
  <c r="O52" i="69"/>
  <c r="P51" i="69"/>
  <c r="O51" i="69"/>
  <c r="P50" i="69"/>
  <c r="O50" i="69"/>
  <c r="P49" i="69"/>
  <c r="O49" i="69"/>
  <c r="O48" i="69"/>
  <c r="G48" i="69"/>
  <c r="F48" i="69"/>
  <c r="Q47" i="69"/>
  <c r="P47" i="69"/>
  <c r="O47" i="69"/>
  <c r="Q46" i="69"/>
  <c r="P46" i="69"/>
  <c r="O46" i="69"/>
  <c r="Q45" i="69"/>
  <c r="P45" i="69"/>
  <c r="O45" i="69"/>
  <c r="Q44" i="69"/>
  <c r="P44" i="69"/>
  <c r="O44" i="69"/>
  <c r="Q43" i="69"/>
  <c r="P43" i="69"/>
  <c r="O43" i="69"/>
  <c r="Q42" i="69"/>
  <c r="P42" i="69"/>
  <c r="O42" i="69"/>
  <c r="Q41" i="69"/>
  <c r="P41" i="69"/>
  <c r="O41" i="69"/>
  <c r="Q40" i="69"/>
  <c r="P40" i="69"/>
  <c r="O40" i="69"/>
  <c r="Q39" i="69"/>
  <c r="P39" i="69"/>
  <c r="O39" i="69"/>
  <c r="Q38" i="69"/>
  <c r="P38" i="69"/>
  <c r="O38" i="69"/>
  <c r="Q37" i="69"/>
  <c r="P37" i="69"/>
  <c r="O37" i="69"/>
  <c r="Q36" i="69"/>
  <c r="P36" i="69"/>
  <c r="O36" i="69"/>
  <c r="Q35" i="69"/>
  <c r="P35" i="69"/>
  <c r="O35" i="69"/>
  <c r="Q34" i="69"/>
  <c r="P34" i="69"/>
  <c r="O34" i="69"/>
  <c r="Q33" i="69"/>
  <c r="P33" i="69"/>
  <c r="O33" i="69"/>
  <c r="Q32" i="69"/>
  <c r="P32" i="69"/>
  <c r="O32" i="69"/>
  <c r="Q31" i="69"/>
  <c r="P31" i="69"/>
  <c r="O31" i="69"/>
  <c r="O30" i="69"/>
  <c r="G30" i="69"/>
  <c r="F30" i="69"/>
  <c r="Q29" i="69"/>
  <c r="P29" i="69"/>
  <c r="O29" i="69"/>
  <c r="Q28" i="69"/>
  <c r="P28" i="69"/>
  <c r="O28" i="69"/>
  <c r="Q27" i="69"/>
  <c r="P27" i="69"/>
  <c r="O27" i="69"/>
  <c r="Q26" i="69"/>
  <c r="P26" i="69"/>
  <c r="O26" i="69"/>
  <c r="Q25" i="69"/>
  <c r="P25" i="69"/>
  <c r="O25" i="69"/>
  <c r="Q24" i="69"/>
  <c r="P24" i="69"/>
  <c r="O24" i="69"/>
  <c r="Q23" i="69"/>
  <c r="P23" i="69"/>
  <c r="O23" i="69"/>
  <c r="Q22" i="69"/>
  <c r="P22" i="69"/>
  <c r="O22" i="69"/>
  <c r="Q21" i="69"/>
  <c r="P21" i="69"/>
  <c r="O21" i="69"/>
  <c r="Q20" i="69"/>
  <c r="P20" i="69"/>
  <c r="O20" i="69"/>
  <c r="Q19" i="69"/>
  <c r="P19" i="69"/>
  <c r="O19" i="69"/>
  <c r="Q18" i="69"/>
  <c r="P18" i="69"/>
  <c r="O18" i="69"/>
  <c r="Q17" i="69"/>
  <c r="P17" i="69"/>
  <c r="O17" i="69"/>
  <c r="Q16" i="69"/>
  <c r="P16" i="69"/>
  <c r="O16" i="69"/>
  <c r="Q15" i="69"/>
  <c r="P15" i="69"/>
  <c r="O15" i="69"/>
  <c r="Q14" i="69"/>
  <c r="P14" i="69"/>
  <c r="O14" i="69"/>
  <c r="Q13" i="69"/>
  <c r="P13" i="69"/>
  <c r="O13" i="69"/>
  <c r="Q12" i="69"/>
  <c r="P12" i="69"/>
  <c r="O12" i="69"/>
  <c r="Q11" i="69"/>
  <c r="P11" i="69"/>
  <c r="O11" i="69"/>
  <c r="Q10" i="69"/>
  <c r="P10" i="69"/>
  <c r="O10" i="69"/>
  <c r="Q9" i="69"/>
  <c r="P9" i="69"/>
  <c r="O9" i="69"/>
  <c r="Q8" i="69"/>
  <c r="P8" i="69"/>
  <c r="O8" i="69"/>
  <c r="Q7" i="69"/>
  <c r="P7" i="69"/>
  <c r="O7" i="69"/>
  <c r="Q6" i="69"/>
  <c r="P6" i="69"/>
  <c r="O6" i="69"/>
  <c r="J6" i="57"/>
  <c r="Q6" i="57"/>
  <c r="R6" i="57"/>
  <c r="S6" i="57"/>
  <c r="J7" i="57"/>
  <c r="Q7" i="57"/>
  <c r="R7" i="57"/>
  <c r="S7" i="57"/>
  <c r="J8" i="57"/>
  <c r="Q8" i="57"/>
  <c r="R8" i="57"/>
  <c r="S8" i="57"/>
  <c r="J9" i="57"/>
  <c r="Q9" i="57"/>
  <c r="R9" i="57"/>
  <c r="S9" i="57"/>
  <c r="J10" i="57"/>
  <c r="Q10" i="57"/>
  <c r="R10" i="57"/>
  <c r="S10" i="57"/>
  <c r="Q11" i="57"/>
  <c r="R11" i="57"/>
  <c r="S11" i="57"/>
  <c r="Q12" i="57"/>
  <c r="R12" i="57"/>
  <c r="S12" i="57"/>
  <c r="Q13" i="57"/>
  <c r="R13" i="57"/>
  <c r="S13" i="57"/>
  <c r="Q14" i="57"/>
  <c r="R14" i="57"/>
  <c r="S14" i="57"/>
  <c r="Q15" i="57"/>
  <c r="R15" i="57"/>
  <c r="S15" i="57"/>
  <c r="Q16" i="57"/>
  <c r="R16" i="57"/>
  <c r="S16" i="57"/>
  <c r="Q17" i="57"/>
  <c r="R17" i="57"/>
  <c r="S17" i="57"/>
  <c r="Q18" i="57"/>
  <c r="R18" i="57"/>
  <c r="S18" i="57"/>
  <c r="Q19" i="57"/>
  <c r="R19" i="57"/>
  <c r="S19" i="57"/>
  <c r="Q20" i="57"/>
  <c r="R20" i="57"/>
  <c r="S20" i="57"/>
  <c r="Q21" i="57"/>
  <c r="R21" i="57"/>
  <c r="S21" i="57"/>
  <c r="Q22" i="57"/>
  <c r="R22" i="57"/>
  <c r="S22" i="57"/>
  <c r="Q23" i="57"/>
  <c r="R23" i="57"/>
  <c r="S23" i="57"/>
  <c r="Q24" i="57"/>
  <c r="R24" i="57"/>
  <c r="S24" i="57"/>
  <c r="Q25" i="57"/>
  <c r="R25" i="57"/>
  <c r="S25" i="57"/>
  <c r="H26" i="57"/>
  <c r="I26" i="57"/>
  <c r="Q26" i="57"/>
  <c r="R26" i="57"/>
  <c r="J27" i="57"/>
  <c r="Q27" i="57"/>
  <c r="R27" i="57"/>
  <c r="K74" i="64" s="1"/>
  <c r="S27" i="57"/>
  <c r="J28" i="57"/>
  <c r="Q28" i="57"/>
  <c r="R28" i="57"/>
  <c r="S28" i="57"/>
  <c r="J29" i="57"/>
  <c r="Q29" i="57"/>
  <c r="R29" i="57"/>
  <c r="S29" i="57"/>
  <c r="J30" i="57"/>
  <c r="Q30" i="57"/>
  <c r="R30" i="57"/>
  <c r="S30" i="57"/>
  <c r="J31" i="57"/>
  <c r="Q31" i="57"/>
  <c r="R31" i="57"/>
  <c r="S31" i="57"/>
  <c r="Q32" i="57"/>
  <c r="R32" i="57"/>
  <c r="S32" i="57"/>
  <c r="Q33" i="57"/>
  <c r="R33" i="57"/>
  <c r="S33" i="57"/>
  <c r="Q34" i="57"/>
  <c r="R34" i="57"/>
  <c r="S34" i="57"/>
  <c r="Q35" i="57"/>
  <c r="R35" i="57"/>
  <c r="S35" i="57"/>
  <c r="Q36" i="57"/>
  <c r="R36" i="57"/>
  <c r="S36" i="57"/>
  <c r="Q37" i="57"/>
  <c r="R37" i="57"/>
  <c r="S37" i="57"/>
  <c r="Q38" i="57"/>
  <c r="R38" i="57"/>
  <c r="S38" i="57"/>
  <c r="Q39" i="57"/>
  <c r="R39" i="57"/>
  <c r="S39" i="57"/>
  <c r="Q40" i="57"/>
  <c r="R40" i="57"/>
  <c r="S40" i="57"/>
  <c r="Q41" i="57"/>
  <c r="R41" i="57"/>
  <c r="S41" i="57"/>
  <c r="Q42" i="57"/>
  <c r="R42" i="57"/>
  <c r="S42" i="57"/>
  <c r="Q43" i="57"/>
  <c r="R43" i="57"/>
  <c r="S43" i="57"/>
  <c r="Q44" i="57"/>
  <c r="R44" i="57"/>
  <c r="S44" i="57"/>
  <c r="Q45" i="57"/>
  <c r="R45" i="57"/>
  <c r="S45" i="57"/>
  <c r="Q46" i="57"/>
  <c r="R46" i="57"/>
  <c r="S46" i="57"/>
  <c r="H47" i="57"/>
  <c r="I47" i="57"/>
  <c r="Q47" i="57"/>
  <c r="R47" i="57"/>
  <c r="J48" i="57"/>
  <c r="Q48" i="57"/>
  <c r="R48" i="57"/>
  <c r="S48" i="57"/>
  <c r="J49" i="57"/>
  <c r="Q49" i="57"/>
  <c r="R49" i="57"/>
  <c r="S49" i="57"/>
  <c r="J50" i="57"/>
  <c r="Q50" i="57"/>
  <c r="R50" i="57"/>
  <c r="S50" i="57"/>
  <c r="J51" i="57"/>
  <c r="Q51" i="57"/>
  <c r="R51" i="57"/>
  <c r="S51" i="57"/>
  <c r="J52" i="57"/>
  <c r="Q52" i="57"/>
  <c r="R52" i="57"/>
  <c r="S52" i="57"/>
  <c r="Q53" i="57"/>
  <c r="R53" i="57"/>
  <c r="S53" i="57"/>
  <c r="Q54" i="57"/>
  <c r="R54" i="57"/>
  <c r="S54" i="57"/>
  <c r="Q55" i="57"/>
  <c r="R55" i="57"/>
  <c r="S55" i="57"/>
  <c r="Q56" i="57"/>
  <c r="R56" i="57"/>
  <c r="S56" i="57"/>
  <c r="Q57" i="57"/>
  <c r="R57" i="57"/>
  <c r="S57" i="57"/>
  <c r="Q58" i="57"/>
  <c r="R58" i="57"/>
  <c r="S58" i="57"/>
  <c r="Q59" i="57"/>
  <c r="R59" i="57"/>
  <c r="S59" i="57"/>
  <c r="Q60" i="57"/>
  <c r="R60" i="57"/>
  <c r="S60" i="57"/>
  <c r="Q61" i="57"/>
  <c r="R61" i="57"/>
  <c r="S61" i="57"/>
  <c r="Q62" i="57"/>
  <c r="R62" i="57"/>
  <c r="S62" i="57"/>
  <c r="Q63" i="57"/>
  <c r="R63" i="57"/>
  <c r="S63" i="57"/>
  <c r="Q64" i="57"/>
  <c r="R64" i="57"/>
  <c r="S64" i="57"/>
  <c r="Q65" i="57"/>
  <c r="R65" i="57"/>
  <c r="S65" i="57"/>
  <c r="Q66" i="57"/>
  <c r="R66" i="57"/>
  <c r="S66" i="57"/>
  <c r="Q67" i="57"/>
  <c r="R67" i="57"/>
  <c r="S67" i="57"/>
  <c r="H68" i="57"/>
  <c r="I68" i="57"/>
  <c r="Q68" i="57"/>
  <c r="R68" i="57"/>
  <c r="J69" i="57"/>
  <c r="Q69" i="57"/>
  <c r="R69" i="57"/>
  <c r="S69" i="57"/>
  <c r="J70" i="57"/>
  <c r="Q70" i="57"/>
  <c r="R70" i="57"/>
  <c r="S70" i="57"/>
  <c r="J71" i="57"/>
  <c r="Q71" i="57"/>
  <c r="R71" i="57"/>
  <c r="S71" i="57"/>
  <c r="J72" i="57"/>
  <c r="Q72" i="57"/>
  <c r="R72" i="57"/>
  <c r="S72" i="57"/>
  <c r="J73" i="57"/>
  <c r="Q73" i="57"/>
  <c r="R73" i="57"/>
  <c r="S73" i="57"/>
  <c r="Q74" i="57"/>
  <c r="R74" i="57"/>
  <c r="S74" i="57"/>
  <c r="Q75" i="57"/>
  <c r="R75" i="57"/>
  <c r="S75" i="57"/>
  <c r="Q76" i="57"/>
  <c r="R76" i="57"/>
  <c r="S76" i="57"/>
  <c r="Q77" i="57"/>
  <c r="R77" i="57"/>
  <c r="S77" i="57"/>
  <c r="Q78" i="57"/>
  <c r="R78" i="57"/>
  <c r="S78" i="57"/>
  <c r="Q79" i="57"/>
  <c r="R79" i="57"/>
  <c r="S79" i="57"/>
  <c r="Q80" i="57"/>
  <c r="R80" i="57"/>
  <c r="S80" i="57"/>
  <c r="Q81" i="57"/>
  <c r="R81" i="57"/>
  <c r="S81" i="57"/>
  <c r="Q82" i="57"/>
  <c r="R82" i="57"/>
  <c r="S82" i="57"/>
  <c r="Q83" i="57"/>
  <c r="R83" i="57"/>
  <c r="S83" i="57"/>
  <c r="Q84" i="57"/>
  <c r="R84" i="57"/>
  <c r="S84" i="57"/>
  <c r="Q85" i="57"/>
  <c r="R85" i="57"/>
  <c r="S85" i="57"/>
  <c r="Q86" i="57"/>
  <c r="R86" i="57"/>
  <c r="S86" i="57"/>
  <c r="Q87" i="57"/>
  <c r="R87" i="57"/>
  <c r="S87" i="57"/>
  <c r="Q88" i="57"/>
  <c r="R88" i="57"/>
  <c r="S88" i="57"/>
  <c r="H89" i="57"/>
  <c r="I89" i="57"/>
  <c r="Q89" i="57"/>
  <c r="R89" i="57"/>
  <c r="J90" i="57"/>
  <c r="Q90" i="57"/>
  <c r="R90" i="57"/>
  <c r="S90" i="57"/>
  <c r="J91" i="57"/>
  <c r="Q91" i="57"/>
  <c r="R91" i="57"/>
  <c r="S91" i="57"/>
  <c r="J92" i="57"/>
  <c r="Q92" i="57"/>
  <c r="R92" i="57"/>
  <c r="S92" i="57"/>
  <c r="J93" i="57"/>
  <c r="Q93" i="57"/>
  <c r="R93" i="57"/>
  <c r="S93" i="57"/>
  <c r="J94" i="57"/>
  <c r="Q94" i="57"/>
  <c r="R94" i="57"/>
  <c r="S94" i="57"/>
  <c r="Q95" i="57"/>
  <c r="R95" i="57"/>
  <c r="S95" i="57"/>
  <c r="Q96" i="57"/>
  <c r="R96" i="57"/>
  <c r="S96" i="57"/>
  <c r="Q97" i="57"/>
  <c r="R97" i="57"/>
  <c r="S97" i="57"/>
  <c r="Q98" i="57"/>
  <c r="R98" i="57"/>
  <c r="S98" i="57"/>
  <c r="Q99" i="57"/>
  <c r="R99" i="57"/>
  <c r="S99" i="57"/>
  <c r="Q100" i="57"/>
  <c r="R100" i="57"/>
  <c r="S100" i="57"/>
  <c r="Q101" i="57"/>
  <c r="R101" i="57"/>
  <c r="S101" i="57"/>
  <c r="Q102" i="57"/>
  <c r="R102" i="57"/>
  <c r="S102" i="57"/>
  <c r="Q103" i="57"/>
  <c r="R103" i="57"/>
  <c r="S103" i="57"/>
  <c r="Q104" i="57"/>
  <c r="R104" i="57"/>
  <c r="S104" i="57"/>
  <c r="Q105" i="57"/>
  <c r="R105" i="57"/>
  <c r="S105" i="57"/>
  <c r="Q106" i="57"/>
  <c r="R106" i="57"/>
  <c r="S106" i="57"/>
  <c r="Q107" i="57"/>
  <c r="R107" i="57"/>
  <c r="S107" i="57"/>
  <c r="Q108" i="57"/>
  <c r="R108" i="57"/>
  <c r="S108" i="57"/>
  <c r="Q109" i="57"/>
  <c r="R109" i="57"/>
  <c r="S109" i="57"/>
  <c r="H110" i="57"/>
  <c r="I110" i="57"/>
  <c r="Q110" i="57"/>
  <c r="R110" i="57"/>
  <c r="J111" i="57"/>
  <c r="Q111" i="57"/>
  <c r="R111" i="57"/>
  <c r="S111" i="57"/>
  <c r="J112" i="57"/>
  <c r="Q112" i="57"/>
  <c r="R112" i="57"/>
  <c r="S112" i="57"/>
  <c r="J113" i="57"/>
  <c r="Q113" i="57"/>
  <c r="R113" i="57"/>
  <c r="S113" i="57"/>
  <c r="J114" i="57"/>
  <c r="Q114" i="57"/>
  <c r="R114" i="57"/>
  <c r="S114" i="57"/>
  <c r="J115" i="57"/>
  <c r="Q115" i="57"/>
  <c r="R115" i="57"/>
  <c r="S115" i="57"/>
  <c r="Q116" i="57"/>
  <c r="R116" i="57"/>
  <c r="S116" i="57"/>
  <c r="Q117" i="57"/>
  <c r="R117" i="57"/>
  <c r="S117" i="57"/>
  <c r="Q118" i="57"/>
  <c r="R118" i="57"/>
  <c r="S118" i="57"/>
  <c r="Q119" i="57"/>
  <c r="R119" i="57"/>
  <c r="S119" i="57"/>
  <c r="Q120" i="57"/>
  <c r="R120" i="57"/>
  <c r="S120" i="57"/>
  <c r="Q121" i="57"/>
  <c r="R121" i="57"/>
  <c r="S121" i="57"/>
  <c r="Q122" i="57"/>
  <c r="R122" i="57"/>
  <c r="S122" i="57"/>
  <c r="Q123" i="57"/>
  <c r="R123" i="57"/>
  <c r="S123" i="57"/>
  <c r="Q124" i="57"/>
  <c r="R124" i="57"/>
  <c r="S124" i="57"/>
  <c r="Q125" i="57"/>
  <c r="R125" i="57"/>
  <c r="S125" i="57"/>
  <c r="Q126" i="57"/>
  <c r="R126" i="57"/>
  <c r="S126" i="57"/>
  <c r="Q127" i="57"/>
  <c r="R127" i="57"/>
  <c r="S127" i="57"/>
  <c r="Q128" i="57"/>
  <c r="R128" i="57"/>
  <c r="S128" i="57"/>
  <c r="Q129" i="57"/>
  <c r="R129" i="57"/>
  <c r="S129" i="57"/>
  <c r="Q130" i="57"/>
  <c r="R130" i="57"/>
  <c r="S130" i="57"/>
  <c r="H131" i="57"/>
  <c r="I131" i="57"/>
  <c r="Q131" i="57"/>
  <c r="R131" i="57"/>
  <c r="J132" i="57"/>
  <c r="Q132" i="57"/>
  <c r="R132" i="57"/>
  <c r="S132" i="57"/>
  <c r="J133" i="57"/>
  <c r="Q133" i="57"/>
  <c r="R133" i="57"/>
  <c r="S133" i="57"/>
  <c r="J134" i="57"/>
  <c r="Q134" i="57"/>
  <c r="R134" i="57"/>
  <c r="S134" i="57"/>
  <c r="J135" i="57"/>
  <c r="Q135" i="57"/>
  <c r="R135" i="57"/>
  <c r="S135" i="57"/>
  <c r="J136" i="57"/>
  <c r="Q136" i="57"/>
  <c r="R136" i="57"/>
  <c r="S136" i="57"/>
  <c r="Q137" i="57"/>
  <c r="R137" i="57"/>
  <c r="S137" i="57"/>
  <c r="Q138" i="57"/>
  <c r="R138" i="57"/>
  <c r="S138" i="57"/>
  <c r="Q139" i="57"/>
  <c r="R139" i="57"/>
  <c r="S139" i="57"/>
  <c r="Q140" i="57"/>
  <c r="R140" i="57"/>
  <c r="S140" i="57"/>
  <c r="Q141" i="57"/>
  <c r="R141" i="57"/>
  <c r="S141" i="57"/>
  <c r="Q142" i="57"/>
  <c r="R142" i="57"/>
  <c r="S142" i="57"/>
  <c r="Q143" i="57"/>
  <c r="R143" i="57"/>
  <c r="S143" i="57"/>
  <c r="Q144" i="57"/>
  <c r="R144" i="57"/>
  <c r="S144" i="57"/>
  <c r="Q145" i="57"/>
  <c r="R145" i="57"/>
  <c r="S145" i="57"/>
  <c r="Q146" i="57"/>
  <c r="R146" i="57"/>
  <c r="S146" i="57"/>
  <c r="Q147" i="57"/>
  <c r="R147" i="57"/>
  <c r="S147" i="57"/>
  <c r="Q148" i="57"/>
  <c r="R148" i="57"/>
  <c r="S148" i="57"/>
  <c r="Q149" i="57"/>
  <c r="R149" i="57"/>
  <c r="S149" i="57"/>
  <c r="Q150" i="57"/>
  <c r="R150" i="57"/>
  <c r="S150" i="57"/>
  <c r="Q151" i="57"/>
  <c r="R151" i="57"/>
  <c r="S151" i="57"/>
  <c r="H152" i="57"/>
  <c r="I152" i="57"/>
  <c r="Q152" i="57"/>
  <c r="R152" i="57"/>
  <c r="J153" i="57"/>
  <c r="Q153" i="57"/>
  <c r="R153" i="57"/>
  <c r="S153" i="57"/>
  <c r="J154" i="57"/>
  <c r="Q154" i="57"/>
  <c r="R154" i="57"/>
  <c r="S154" i="57"/>
  <c r="J155" i="57"/>
  <c r="Q155" i="57"/>
  <c r="R155" i="57"/>
  <c r="S155" i="57"/>
  <c r="J156" i="57"/>
  <c r="Q156" i="57"/>
  <c r="R156" i="57"/>
  <c r="S156" i="57"/>
  <c r="J157" i="57"/>
  <c r="Q157" i="57"/>
  <c r="R157" i="57"/>
  <c r="S157" i="57"/>
  <c r="Q158" i="57"/>
  <c r="R158" i="57"/>
  <c r="S158" i="57"/>
  <c r="Q159" i="57"/>
  <c r="R159" i="57"/>
  <c r="S159" i="57"/>
  <c r="Q160" i="57"/>
  <c r="R160" i="57"/>
  <c r="S160" i="57"/>
  <c r="Q161" i="57"/>
  <c r="R161" i="57"/>
  <c r="S161" i="57"/>
  <c r="Q162" i="57"/>
  <c r="R162" i="57"/>
  <c r="S162" i="57"/>
  <c r="Q163" i="57"/>
  <c r="R163" i="57"/>
  <c r="S163" i="57"/>
  <c r="Q164" i="57"/>
  <c r="R164" i="57"/>
  <c r="S164" i="57"/>
  <c r="Q165" i="57"/>
  <c r="R165" i="57"/>
  <c r="S165" i="57"/>
  <c r="Q166" i="57"/>
  <c r="R166" i="57"/>
  <c r="S166" i="57"/>
  <c r="Q167" i="57"/>
  <c r="R167" i="57"/>
  <c r="S167" i="57"/>
  <c r="Q168" i="57"/>
  <c r="R168" i="57"/>
  <c r="S168" i="57"/>
  <c r="Q169" i="57"/>
  <c r="R169" i="57"/>
  <c r="S169" i="57"/>
  <c r="Q170" i="57"/>
  <c r="R170" i="57"/>
  <c r="S170" i="57"/>
  <c r="Q171" i="57"/>
  <c r="R171" i="57"/>
  <c r="S171" i="57"/>
  <c r="Q172" i="57"/>
  <c r="R172" i="57"/>
  <c r="S172" i="57"/>
  <c r="H173" i="57"/>
  <c r="I173" i="57"/>
  <c r="Q173" i="57"/>
  <c r="R173" i="57"/>
  <c r="J174" i="57"/>
  <c r="Q174" i="57"/>
  <c r="R174" i="57"/>
  <c r="S174" i="57"/>
  <c r="J175" i="57"/>
  <c r="Q175" i="57"/>
  <c r="R175" i="57"/>
  <c r="S175" i="57"/>
  <c r="J176" i="57"/>
  <c r="Q176" i="57"/>
  <c r="R176" i="57"/>
  <c r="S176" i="57"/>
  <c r="J177" i="57"/>
  <c r="Q177" i="57"/>
  <c r="R177" i="57"/>
  <c r="S177" i="57"/>
  <c r="J178" i="57"/>
  <c r="Q178" i="57"/>
  <c r="R178" i="57"/>
  <c r="S178" i="57"/>
  <c r="Q179" i="57"/>
  <c r="R179" i="57"/>
  <c r="S179" i="57"/>
  <c r="Q180" i="57"/>
  <c r="R180" i="57"/>
  <c r="S180" i="57"/>
  <c r="Q181" i="57"/>
  <c r="R181" i="57"/>
  <c r="S181" i="57"/>
  <c r="Q182" i="57"/>
  <c r="R182" i="57"/>
  <c r="S182" i="57"/>
  <c r="Q183" i="57"/>
  <c r="R183" i="57"/>
  <c r="S183" i="57"/>
  <c r="Q184" i="57"/>
  <c r="R184" i="57"/>
  <c r="S184" i="57"/>
  <c r="Q185" i="57"/>
  <c r="R185" i="57"/>
  <c r="S185" i="57"/>
  <c r="Q186" i="57"/>
  <c r="R186" i="57"/>
  <c r="S186" i="57"/>
  <c r="Q187" i="57"/>
  <c r="R187" i="57"/>
  <c r="S187" i="57"/>
  <c r="Q188" i="57"/>
  <c r="R188" i="57"/>
  <c r="S188" i="57"/>
  <c r="Q189" i="57"/>
  <c r="R189" i="57"/>
  <c r="S189" i="57"/>
  <c r="Q190" i="57"/>
  <c r="R190" i="57"/>
  <c r="S190" i="57"/>
  <c r="Q191" i="57"/>
  <c r="R191" i="57"/>
  <c r="S191" i="57"/>
  <c r="Q192" i="57"/>
  <c r="R192" i="57"/>
  <c r="S192" i="57"/>
  <c r="Q193" i="57"/>
  <c r="R193" i="57"/>
  <c r="S193" i="57"/>
  <c r="H194" i="57"/>
  <c r="I194" i="57"/>
  <c r="Q194" i="57"/>
  <c r="R194" i="57"/>
  <c r="J195" i="57"/>
  <c r="Q195" i="57"/>
  <c r="R195" i="57"/>
  <c r="S195" i="57"/>
  <c r="J196" i="57"/>
  <c r="Q196" i="57"/>
  <c r="R196" i="57"/>
  <c r="S196" i="57"/>
  <c r="J197" i="57"/>
  <c r="Q197" i="57"/>
  <c r="R197" i="57"/>
  <c r="S197" i="57"/>
  <c r="J198" i="57"/>
  <c r="Q198" i="57"/>
  <c r="R198" i="57"/>
  <c r="S198" i="57"/>
  <c r="J199" i="57"/>
  <c r="Q199" i="57"/>
  <c r="R199" i="57"/>
  <c r="S199" i="57"/>
  <c r="Q200" i="57"/>
  <c r="R200" i="57"/>
  <c r="S200" i="57"/>
  <c r="Q201" i="57"/>
  <c r="R201" i="57"/>
  <c r="S201" i="57"/>
  <c r="Q202" i="57"/>
  <c r="R202" i="57"/>
  <c r="S202" i="57"/>
  <c r="Q203" i="57"/>
  <c r="R203" i="57"/>
  <c r="S203" i="57"/>
  <c r="Q204" i="57"/>
  <c r="R204" i="57"/>
  <c r="S204" i="57"/>
  <c r="Q205" i="57"/>
  <c r="R205" i="57"/>
  <c r="S205" i="57"/>
  <c r="Q206" i="57"/>
  <c r="R206" i="57"/>
  <c r="S206" i="57"/>
  <c r="Q207" i="57"/>
  <c r="R207" i="57"/>
  <c r="S207" i="57"/>
  <c r="Q208" i="57"/>
  <c r="R208" i="57"/>
  <c r="S208" i="57"/>
  <c r="Q209" i="57"/>
  <c r="R209" i="57"/>
  <c r="S209" i="57"/>
  <c r="Q210" i="57"/>
  <c r="R210" i="57"/>
  <c r="S210" i="57"/>
  <c r="Q211" i="57"/>
  <c r="R211" i="57"/>
  <c r="S211" i="57"/>
  <c r="Q212" i="57"/>
  <c r="R212" i="57"/>
  <c r="S212" i="57"/>
  <c r="Q213" i="57"/>
  <c r="R213" i="57"/>
  <c r="S213" i="57"/>
  <c r="Q214" i="57"/>
  <c r="R214" i="57"/>
  <c r="S214" i="57"/>
  <c r="H215" i="57"/>
  <c r="I215" i="57"/>
  <c r="Q215" i="57"/>
  <c r="R215" i="57"/>
  <c r="J216" i="57"/>
  <c r="Q216" i="57"/>
  <c r="R216" i="57"/>
  <c r="S216" i="57"/>
  <c r="J217" i="57"/>
  <c r="Q217" i="57"/>
  <c r="R217" i="57"/>
  <c r="S217" i="57"/>
  <c r="J218" i="57"/>
  <c r="Q218" i="57"/>
  <c r="R218" i="57"/>
  <c r="S218" i="57"/>
  <c r="J219" i="57"/>
  <c r="Q219" i="57"/>
  <c r="R219" i="57"/>
  <c r="S219" i="57"/>
  <c r="J220" i="57"/>
  <c r="Q220" i="57"/>
  <c r="R220" i="57"/>
  <c r="S220" i="57"/>
  <c r="Q221" i="57"/>
  <c r="R221" i="57"/>
  <c r="S221" i="57"/>
  <c r="Q222" i="57"/>
  <c r="R222" i="57"/>
  <c r="S222" i="57"/>
  <c r="Q223" i="57"/>
  <c r="R223" i="57"/>
  <c r="S223" i="57"/>
  <c r="Q224" i="57"/>
  <c r="R224" i="57"/>
  <c r="S224" i="57"/>
  <c r="Q225" i="57"/>
  <c r="R225" i="57"/>
  <c r="S225" i="57"/>
  <c r="Q226" i="57"/>
  <c r="R226" i="57"/>
  <c r="S226" i="57"/>
  <c r="Q227" i="57"/>
  <c r="R227" i="57"/>
  <c r="S227" i="57"/>
  <c r="Q228" i="57"/>
  <c r="R228" i="57"/>
  <c r="S228" i="57"/>
  <c r="Q229" i="57"/>
  <c r="R229" i="57"/>
  <c r="S229" i="57"/>
  <c r="Q230" i="57"/>
  <c r="R230" i="57"/>
  <c r="S230" i="57"/>
  <c r="Q231" i="57"/>
  <c r="R231" i="57"/>
  <c r="S231" i="57"/>
  <c r="Q232" i="57"/>
  <c r="R232" i="57"/>
  <c r="S232" i="57"/>
  <c r="Q233" i="57"/>
  <c r="R233" i="57"/>
  <c r="S233" i="57"/>
  <c r="Q234" i="57"/>
  <c r="R234" i="57"/>
  <c r="S234" i="57"/>
  <c r="Q235" i="57"/>
  <c r="R235" i="57"/>
  <c r="S235" i="57"/>
  <c r="H236" i="57"/>
  <c r="I236" i="57"/>
  <c r="Q236" i="57"/>
  <c r="R236" i="57"/>
  <c r="J237" i="57"/>
  <c r="Q237" i="57"/>
  <c r="R237" i="57"/>
  <c r="S237" i="57"/>
  <c r="J238" i="57"/>
  <c r="Q238" i="57"/>
  <c r="R238" i="57"/>
  <c r="S238" i="57"/>
  <c r="J239" i="57"/>
  <c r="Q239" i="57"/>
  <c r="R239" i="57"/>
  <c r="S239" i="57"/>
  <c r="J240" i="57"/>
  <c r="Q240" i="57"/>
  <c r="R240" i="57"/>
  <c r="S240" i="57"/>
  <c r="J241" i="57"/>
  <c r="Q241" i="57"/>
  <c r="R241" i="57"/>
  <c r="S241" i="57"/>
  <c r="Q242" i="57"/>
  <c r="R242" i="57"/>
  <c r="S242" i="57"/>
  <c r="Q243" i="57"/>
  <c r="R243" i="57"/>
  <c r="S243" i="57"/>
  <c r="Q244" i="57"/>
  <c r="R244" i="57"/>
  <c r="S244" i="57"/>
  <c r="Q245" i="57"/>
  <c r="R245" i="57"/>
  <c r="S245" i="57"/>
  <c r="Q246" i="57"/>
  <c r="R246" i="57"/>
  <c r="S246" i="57"/>
  <c r="Q247" i="57"/>
  <c r="R247" i="57"/>
  <c r="S247" i="57"/>
  <c r="Q248" i="57"/>
  <c r="R248" i="57"/>
  <c r="S248" i="57"/>
  <c r="Q249" i="57"/>
  <c r="R249" i="57"/>
  <c r="S249" i="57"/>
  <c r="Q250" i="57"/>
  <c r="R250" i="57"/>
  <c r="S250" i="57"/>
  <c r="Q251" i="57"/>
  <c r="R251" i="57"/>
  <c r="S251" i="57"/>
  <c r="Q252" i="57"/>
  <c r="R252" i="57"/>
  <c r="S252" i="57"/>
  <c r="Q253" i="57"/>
  <c r="R253" i="57"/>
  <c r="S253" i="57"/>
  <c r="Q254" i="57"/>
  <c r="R254" i="57"/>
  <c r="S254" i="57"/>
  <c r="Q255" i="57"/>
  <c r="R255" i="57"/>
  <c r="S255" i="57"/>
  <c r="Q256" i="57"/>
  <c r="R256" i="57"/>
  <c r="S256" i="57"/>
  <c r="H257" i="57"/>
  <c r="I257" i="57"/>
  <c r="Q257" i="57"/>
  <c r="R257" i="57"/>
  <c r="L6" i="56"/>
  <c r="M6" i="56"/>
  <c r="N6" i="56"/>
  <c r="L7" i="56"/>
  <c r="M7" i="56"/>
  <c r="N7" i="56"/>
  <c r="L8" i="56"/>
  <c r="M8" i="56"/>
  <c r="N8" i="56"/>
  <c r="L9" i="56"/>
  <c r="M9" i="56"/>
  <c r="N9" i="56"/>
  <c r="L10" i="56"/>
  <c r="M10" i="56"/>
  <c r="N10" i="56"/>
  <c r="L11" i="56"/>
  <c r="M11" i="56"/>
  <c r="N11" i="56"/>
  <c r="L12" i="56"/>
  <c r="M12" i="56"/>
  <c r="N12" i="56"/>
  <c r="L13" i="56"/>
  <c r="M13" i="56"/>
  <c r="N13" i="56"/>
  <c r="L14" i="56"/>
  <c r="M14" i="56"/>
  <c r="N14" i="56"/>
  <c r="L15" i="56"/>
  <c r="M15" i="56"/>
  <c r="N15" i="56"/>
  <c r="L16" i="56"/>
  <c r="M16" i="56"/>
  <c r="N16" i="56"/>
  <c r="L17" i="56"/>
  <c r="M17" i="56"/>
  <c r="N17" i="56"/>
  <c r="L18" i="56"/>
  <c r="M18" i="56"/>
  <c r="N18" i="56"/>
  <c r="L19" i="56"/>
  <c r="M19" i="56"/>
  <c r="N19" i="56"/>
  <c r="L20" i="56"/>
  <c r="M20" i="56"/>
  <c r="N20" i="56"/>
  <c r="L21" i="56"/>
  <c r="M21" i="56"/>
  <c r="N21" i="56"/>
  <c r="L22" i="56"/>
  <c r="M22" i="56"/>
  <c r="N22" i="56"/>
  <c r="L23" i="56"/>
  <c r="M23" i="56"/>
  <c r="N23" i="56"/>
  <c r="L24" i="56"/>
  <c r="M24" i="56"/>
  <c r="N24" i="56"/>
  <c r="L25" i="56"/>
  <c r="M25" i="56"/>
  <c r="N25" i="56"/>
  <c r="E26" i="56"/>
  <c r="L26" i="56"/>
  <c r="M26" i="56"/>
  <c r="L27" i="56"/>
  <c r="M27" i="56"/>
  <c r="N27" i="56"/>
  <c r="L28" i="56"/>
  <c r="M28" i="56"/>
  <c r="N28" i="56"/>
  <c r="L29" i="56"/>
  <c r="M29" i="56"/>
  <c r="N29" i="56"/>
  <c r="L30" i="56"/>
  <c r="M30" i="56"/>
  <c r="N30" i="56"/>
  <c r="L31" i="56"/>
  <c r="M31" i="56"/>
  <c r="N31" i="56"/>
  <c r="L32" i="56"/>
  <c r="M32" i="56"/>
  <c r="N32" i="56"/>
  <c r="L33" i="56"/>
  <c r="M33" i="56"/>
  <c r="N33" i="56"/>
  <c r="L34" i="56"/>
  <c r="M34" i="56"/>
  <c r="N34" i="56"/>
  <c r="L35" i="56"/>
  <c r="M35" i="56"/>
  <c r="N35" i="56"/>
  <c r="L36" i="56"/>
  <c r="M36" i="56"/>
  <c r="N36" i="56"/>
  <c r="L37" i="56"/>
  <c r="M37" i="56"/>
  <c r="N37" i="56"/>
  <c r="L38" i="56"/>
  <c r="M38" i="56"/>
  <c r="N38" i="56"/>
  <c r="L39" i="56"/>
  <c r="M39" i="56"/>
  <c r="N39" i="56"/>
  <c r="L40" i="56"/>
  <c r="M40" i="56"/>
  <c r="N40" i="56"/>
  <c r="L41" i="56"/>
  <c r="M41" i="56"/>
  <c r="N41" i="56"/>
  <c r="L42" i="56"/>
  <c r="M42" i="56"/>
  <c r="N42" i="56"/>
  <c r="L43" i="56"/>
  <c r="M43" i="56"/>
  <c r="N43" i="56"/>
  <c r="L44" i="56"/>
  <c r="M44" i="56"/>
  <c r="N44" i="56"/>
  <c r="L45" i="56"/>
  <c r="M45" i="56"/>
  <c r="N45" i="56"/>
  <c r="L46" i="56"/>
  <c r="M46" i="56"/>
  <c r="N46" i="56"/>
  <c r="E47" i="56"/>
  <c r="L47" i="56"/>
  <c r="M47" i="56"/>
  <c r="P48" i="64" s="1"/>
  <c r="L48" i="56"/>
  <c r="M48" i="56"/>
  <c r="N48" i="56"/>
  <c r="L49" i="56"/>
  <c r="M49" i="56"/>
  <c r="N49" i="56"/>
  <c r="L50" i="56"/>
  <c r="M50" i="56"/>
  <c r="N50" i="56"/>
  <c r="L51" i="56"/>
  <c r="M51" i="56"/>
  <c r="N51" i="56"/>
  <c r="L52" i="56"/>
  <c r="M52" i="56"/>
  <c r="N52" i="56"/>
  <c r="L53" i="56"/>
  <c r="M53" i="56"/>
  <c r="N53" i="56"/>
  <c r="L54" i="56"/>
  <c r="M54" i="56"/>
  <c r="N54" i="56"/>
  <c r="L55" i="56"/>
  <c r="M55" i="56"/>
  <c r="N55" i="56"/>
  <c r="L56" i="56"/>
  <c r="M56" i="56"/>
  <c r="N56" i="56"/>
  <c r="L57" i="56"/>
  <c r="M57" i="56"/>
  <c r="N57" i="56"/>
  <c r="L58" i="56"/>
  <c r="M58" i="56"/>
  <c r="N58" i="56"/>
  <c r="L59" i="56"/>
  <c r="M59" i="56"/>
  <c r="N59" i="56"/>
  <c r="L60" i="56"/>
  <c r="M60" i="56"/>
  <c r="N60" i="56"/>
  <c r="L61" i="56"/>
  <c r="M61" i="56"/>
  <c r="N61" i="56"/>
  <c r="L62" i="56"/>
  <c r="M62" i="56"/>
  <c r="N62" i="56"/>
  <c r="L63" i="56"/>
  <c r="M63" i="56"/>
  <c r="N63" i="56"/>
  <c r="L64" i="56"/>
  <c r="M64" i="56"/>
  <c r="N64" i="56"/>
  <c r="L65" i="56"/>
  <c r="M65" i="56"/>
  <c r="N65" i="56"/>
  <c r="L66" i="56"/>
  <c r="M66" i="56"/>
  <c r="N66" i="56"/>
  <c r="L67" i="56"/>
  <c r="M67" i="56"/>
  <c r="N67" i="56"/>
  <c r="E68" i="56"/>
  <c r="L68" i="56"/>
  <c r="M68" i="56"/>
  <c r="L69" i="56"/>
  <c r="M69" i="56"/>
  <c r="N69" i="56"/>
  <c r="L70" i="56"/>
  <c r="M70" i="56"/>
  <c r="N70" i="56"/>
  <c r="L71" i="56"/>
  <c r="M71" i="56"/>
  <c r="N71" i="56"/>
  <c r="L72" i="56"/>
  <c r="M72" i="56"/>
  <c r="N72" i="56"/>
  <c r="L73" i="56"/>
  <c r="M73" i="56"/>
  <c r="N73" i="56"/>
  <c r="L74" i="56"/>
  <c r="M74" i="56"/>
  <c r="N74" i="56"/>
  <c r="L75" i="56"/>
  <c r="M75" i="56"/>
  <c r="N75" i="56"/>
  <c r="L76" i="56"/>
  <c r="M76" i="56"/>
  <c r="N76" i="56"/>
  <c r="L77" i="56"/>
  <c r="M77" i="56"/>
  <c r="N77" i="56"/>
  <c r="L78" i="56"/>
  <c r="M78" i="56"/>
  <c r="N78" i="56"/>
  <c r="L79" i="56"/>
  <c r="M79" i="56"/>
  <c r="N79" i="56"/>
  <c r="L80" i="56"/>
  <c r="M80" i="56"/>
  <c r="N80" i="56"/>
  <c r="L81" i="56"/>
  <c r="M81" i="56"/>
  <c r="N81" i="56"/>
  <c r="L82" i="56"/>
  <c r="M82" i="56"/>
  <c r="N82" i="56"/>
  <c r="L83" i="56"/>
  <c r="M83" i="56"/>
  <c r="N83" i="56"/>
  <c r="L84" i="56"/>
  <c r="M84" i="56"/>
  <c r="N84" i="56"/>
  <c r="L85" i="56"/>
  <c r="M85" i="56"/>
  <c r="N85" i="56"/>
  <c r="L86" i="56"/>
  <c r="M86" i="56"/>
  <c r="N86" i="56"/>
  <c r="L87" i="56"/>
  <c r="M87" i="56"/>
  <c r="N87" i="56"/>
  <c r="L88" i="56"/>
  <c r="M88" i="56"/>
  <c r="N88" i="56"/>
  <c r="E89" i="56"/>
  <c r="L89" i="56"/>
  <c r="M89" i="56"/>
  <c r="L90" i="56"/>
  <c r="M90" i="56"/>
  <c r="N90" i="56"/>
  <c r="L91" i="56"/>
  <c r="M91" i="56"/>
  <c r="N91" i="56"/>
  <c r="L92" i="56"/>
  <c r="M92" i="56"/>
  <c r="N92" i="56"/>
  <c r="L93" i="56"/>
  <c r="M93" i="56"/>
  <c r="N93" i="56"/>
  <c r="L94" i="56"/>
  <c r="M94" i="56"/>
  <c r="N94" i="56"/>
  <c r="L95" i="56"/>
  <c r="M95" i="56"/>
  <c r="N95" i="56"/>
  <c r="L96" i="56"/>
  <c r="M96" i="56"/>
  <c r="N96" i="56"/>
  <c r="L97" i="56"/>
  <c r="M97" i="56"/>
  <c r="N97" i="56"/>
  <c r="L98" i="56"/>
  <c r="M98" i="56"/>
  <c r="N98" i="56"/>
  <c r="L99" i="56"/>
  <c r="M99" i="56"/>
  <c r="N99" i="56"/>
  <c r="L100" i="56"/>
  <c r="M100" i="56"/>
  <c r="N100" i="56"/>
  <c r="L101" i="56"/>
  <c r="M101" i="56"/>
  <c r="N101" i="56"/>
  <c r="L102" i="56"/>
  <c r="M102" i="56"/>
  <c r="N102" i="56"/>
  <c r="L103" i="56"/>
  <c r="M103" i="56"/>
  <c r="N103" i="56"/>
  <c r="L104" i="56"/>
  <c r="M104" i="56"/>
  <c r="N104" i="56"/>
  <c r="L105" i="56"/>
  <c r="M105" i="56"/>
  <c r="N105" i="56"/>
  <c r="L106" i="56"/>
  <c r="M106" i="56"/>
  <c r="N106" i="56"/>
  <c r="L107" i="56"/>
  <c r="M107" i="56"/>
  <c r="N107" i="56"/>
  <c r="L108" i="56"/>
  <c r="M108" i="56"/>
  <c r="N108" i="56"/>
  <c r="L109" i="56"/>
  <c r="M109" i="56"/>
  <c r="N109" i="56"/>
  <c r="E110" i="56"/>
  <c r="L110" i="56"/>
  <c r="M110" i="56"/>
  <c r="L111" i="56"/>
  <c r="M111" i="56"/>
  <c r="N111" i="56"/>
  <c r="L112" i="56"/>
  <c r="M112" i="56"/>
  <c r="N112" i="56"/>
  <c r="L113" i="56"/>
  <c r="M113" i="56"/>
  <c r="N113" i="56"/>
  <c r="L114" i="56"/>
  <c r="M114" i="56"/>
  <c r="N114" i="56"/>
  <c r="L115" i="56"/>
  <c r="M115" i="56"/>
  <c r="N115" i="56"/>
  <c r="L116" i="56"/>
  <c r="M116" i="56"/>
  <c r="N116" i="56"/>
  <c r="L117" i="56"/>
  <c r="M117" i="56"/>
  <c r="N117" i="56"/>
  <c r="L118" i="56"/>
  <c r="M118" i="56"/>
  <c r="N118" i="56"/>
  <c r="L119" i="56"/>
  <c r="M119" i="56"/>
  <c r="N119" i="56"/>
  <c r="L120" i="56"/>
  <c r="M120" i="56"/>
  <c r="N120" i="56"/>
  <c r="L121" i="56"/>
  <c r="M121" i="56"/>
  <c r="N121" i="56"/>
  <c r="L122" i="56"/>
  <c r="M122" i="56"/>
  <c r="N122" i="56"/>
  <c r="L123" i="56"/>
  <c r="M123" i="56"/>
  <c r="N123" i="56"/>
  <c r="L124" i="56"/>
  <c r="M124" i="56"/>
  <c r="N124" i="56"/>
  <c r="L125" i="56"/>
  <c r="M125" i="56"/>
  <c r="N125" i="56"/>
  <c r="L126" i="56"/>
  <c r="M126" i="56"/>
  <c r="N126" i="56"/>
  <c r="L127" i="56"/>
  <c r="M127" i="56"/>
  <c r="N127" i="56"/>
  <c r="L128" i="56"/>
  <c r="M128" i="56"/>
  <c r="N128" i="56"/>
  <c r="L129" i="56"/>
  <c r="M129" i="56"/>
  <c r="N129" i="56"/>
  <c r="L130" i="56"/>
  <c r="M130" i="56"/>
  <c r="N130" i="56"/>
  <c r="E131" i="56"/>
  <c r="L131" i="56"/>
  <c r="M131" i="56"/>
  <c r="L132" i="56"/>
  <c r="M132" i="56"/>
  <c r="N132" i="56"/>
  <c r="L133" i="56"/>
  <c r="M133" i="56"/>
  <c r="N133" i="56"/>
  <c r="L134" i="56"/>
  <c r="M134" i="56"/>
  <c r="N134" i="56"/>
  <c r="L135" i="56"/>
  <c r="M135" i="56"/>
  <c r="N135" i="56"/>
  <c r="L136" i="56"/>
  <c r="M136" i="56"/>
  <c r="N136" i="56"/>
  <c r="L137" i="56"/>
  <c r="M137" i="56"/>
  <c r="N137" i="56"/>
  <c r="L138" i="56"/>
  <c r="M138" i="56"/>
  <c r="N138" i="56"/>
  <c r="L139" i="56"/>
  <c r="M139" i="56"/>
  <c r="N139" i="56"/>
  <c r="L140" i="56"/>
  <c r="M140" i="56"/>
  <c r="N140" i="56"/>
  <c r="L141" i="56"/>
  <c r="M141" i="56"/>
  <c r="N141" i="56"/>
  <c r="L142" i="56"/>
  <c r="M142" i="56"/>
  <c r="N142" i="56"/>
  <c r="L143" i="56"/>
  <c r="M143" i="56"/>
  <c r="N143" i="56"/>
  <c r="L144" i="56"/>
  <c r="M144" i="56"/>
  <c r="N144" i="56"/>
  <c r="L145" i="56"/>
  <c r="M145" i="56"/>
  <c r="N145" i="56"/>
  <c r="L146" i="56"/>
  <c r="M146" i="56"/>
  <c r="N146" i="56"/>
  <c r="L147" i="56"/>
  <c r="M147" i="56"/>
  <c r="N147" i="56"/>
  <c r="L148" i="56"/>
  <c r="M148" i="56"/>
  <c r="N148" i="56"/>
  <c r="L149" i="56"/>
  <c r="M149" i="56"/>
  <c r="N149" i="56"/>
  <c r="L150" i="56"/>
  <c r="M150" i="56"/>
  <c r="N150" i="56"/>
  <c r="L151" i="56"/>
  <c r="M151" i="56"/>
  <c r="N151" i="56"/>
  <c r="E152" i="56"/>
  <c r="L152" i="56"/>
  <c r="M152" i="56"/>
  <c r="L153" i="56"/>
  <c r="M153" i="56"/>
  <c r="N153" i="56"/>
  <c r="L154" i="56"/>
  <c r="M154" i="56"/>
  <c r="N154" i="56"/>
  <c r="L155" i="56"/>
  <c r="M155" i="56"/>
  <c r="N155" i="56"/>
  <c r="L156" i="56"/>
  <c r="M156" i="56"/>
  <c r="N156" i="56"/>
  <c r="L157" i="56"/>
  <c r="M157" i="56"/>
  <c r="N157" i="56"/>
  <c r="L158" i="56"/>
  <c r="M158" i="56"/>
  <c r="N158" i="56"/>
  <c r="L159" i="56"/>
  <c r="M159" i="56"/>
  <c r="N159" i="56"/>
  <c r="L160" i="56"/>
  <c r="M160" i="56"/>
  <c r="N160" i="56"/>
  <c r="L161" i="56"/>
  <c r="M161" i="56"/>
  <c r="N161" i="56"/>
  <c r="L162" i="56"/>
  <c r="M162" i="56"/>
  <c r="N162" i="56"/>
  <c r="L163" i="56"/>
  <c r="M163" i="56"/>
  <c r="N163" i="56"/>
  <c r="L164" i="56"/>
  <c r="M164" i="56"/>
  <c r="N164" i="56"/>
  <c r="L165" i="56"/>
  <c r="M165" i="56"/>
  <c r="N165" i="56"/>
  <c r="L166" i="56"/>
  <c r="M166" i="56"/>
  <c r="N166" i="56"/>
  <c r="L167" i="56"/>
  <c r="M167" i="56"/>
  <c r="N167" i="56"/>
  <c r="L168" i="56"/>
  <c r="M168" i="56"/>
  <c r="N168" i="56"/>
  <c r="L169" i="56"/>
  <c r="M169" i="56"/>
  <c r="N169" i="56"/>
  <c r="L170" i="56"/>
  <c r="M170" i="56"/>
  <c r="N170" i="56"/>
  <c r="L171" i="56"/>
  <c r="M171" i="56"/>
  <c r="N171" i="56"/>
  <c r="L172" i="56"/>
  <c r="M172" i="56"/>
  <c r="N172" i="56"/>
  <c r="E173" i="56"/>
  <c r="L173" i="56"/>
  <c r="M173" i="56"/>
  <c r="L174" i="56"/>
  <c r="M174" i="56"/>
  <c r="N174" i="56"/>
  <c r="L175" i="56"/>
  <c r="M175" i="56"/>
  <c r="N175" i="56"/>
  <c r="L176" i="56"/>
  <c r="M176" i="56"/>
  <c r="N176" i="56"/>
  <c r="L177" i="56"/>
  <c r="M177" i="56"/>
  <c r="N177" i="56"/>
  <c r="L178" i="56"/>
  <c r="M178" i="56"/>
  <c r="N178" i="56"/>
  <c r="L179" i="56"/>
  <c r="M179" i="56"/>
  <c r="N179" i="56"/>
  <c r="L180" i="56"/>
  <c r="M180" i="56"/>
  <c r="N180" i="56"/>
  <c r="L181" i="56"/>
  <c r="M181" i="56"/>
  <c r="N181" i="56"/>
  <c r="L182" i="56"/>
  <c r="M182" i="56"/>
  <c r="N182" i="56"/>
  <c r="L183" i="56"/>
  <c r="M183" i="56"/>
  <c r="N183" i="56"/>
  <c r="L184" i="56"/>
  <c r="M184" i="56"/>
  <c r="N184" i="56"/>
  <c r="L185" i="56"/>
  <c r="M185" i="56"/>
  <c r="N185" i="56"/>
  <c r="L186" i="56"/>
  <c r="M186" i="56"/>
  <c r="N186" i="56"/>
  <c r="L187" i="56"/>
  <c r="M187" i="56"/>
  <c r="N187" i="56"/>
  <c r="L188" i="56"/>
  <c r="M188" i="56"/>
  <c r="N188" i="56"/>
  <c r="L189" i="56"/>
  <c r="M189" i="56"/>
  <c r="N189" i="56"/>
  <c r="L190" i="56"/>
  <c r="M190" i="56"/>
  <c r="N190" i="56"/>
  <c r="L191" i="56"/>
  <c r="M191" i="56"/>
  <c r="N191" i="56"/>
  <c r="L192" i="56"/>
  <c r="M192" i="56"/>
  <c r="N192" i="56"/>
  <c r="L193" i="56"/>
  <c r="M193" i="56"/>
  <c r="N193" i="56"/>
  <c r="E194" i="56"/>
  <c r="L194" i="56"/>
  <c r="M194" i="56"/>
  <c r="L195" i="56"/>
  <c r="M195" i="56"/>
  <c r="N195" i="56"/>
  <c r="L196" i="56"/>
  <c r="M196" i="56"/>
  <c r="N196" i="56"/>
  <c r="L197" i="56"/>
  <c r="M197" i="56"/>
  <c r="N197" i="56"/>
  <c r="L198" i="56"/>
  <c r="M198" i="56"/>
  <c r="N198" i="56"/>
  <c r="L199" i="56"/>
  <c r="M199" i="56"/>
  <c r="N199" i="56"/>
  <c r="L200" i="56"/>
  <c r="M200" i="56"/>
  <c r="N200" i="56"/>
  <c r="L201" i="56"/>
  <c r="M201" i="56"/>
  <c r="N201" i="56"/>
  <c r="L202" i="56"/>
  <c r="M202" i="56"/>
  <c r="N202" i="56"/>
  <c r="L203" i="56"/>
  <c r="M203" i="56"/>
  <c r="N203" i="56"/>
  <c r="L204" i="56"/>
  <c r="M204" i="56"/>
  <c r="N204" i="56"/>
  <c r="L205" i="56"/>
  <c r="M205" i="56"/>
  <c r="N205" i="56"/>
  <c r="L206" i="56"/>
  <c r="M206" i="56"/>
  <c r="N206" i="56"/>
  <c r="L207" i="56"/>
  <c r="M207" i="56"/>
  <c r="N207" i="56"/>
  <c r="L208" i="56"/>
  <c r="M208" i="56"/>
  <c r="N208" i="56"/>
  <c r="L209" i="56"/>
  <c r="M209" i="56"/>
  <c r="N209" i="56"/>
  <c r="L210" i="56"/>
  <c r="M210" i="56"/>
  <c r="N210" i="56"/>
  <c r="L211" i="56"/>
  <c r="M211" i="56"/>
  <c r="N211" i="56"/>
  <c r="L212" i="56"/>
  <c r="M212" i="56"/>
  <c r="N212" i="56"/>
  <c r="L213" i="56"/>
  <c r="M213" i="56"/>
  <c r="N213" i="56"/>
  <c r="L214" i="56"/>
  <c r="M214" i="56"/>
  <c r="N214" i="56"/>
  <c r="E215" i="56"/>
  <c r="L215" i="56"/>
  <c r="M215" i="56"/>
  <c r="L216" i="56"/>
  <c r="M216" i="56"/>
  <c r="N216" i="56"/>
  <c r="L217" i="56"/>
  <c r="M217" i="56"/>
  <c r="N217" i="56"/>
  <c r="L218" i="56"/>
  <c r="M218" i="56"/>
  <c r="N218" i="56"/>
  <c r="L219" i="56"/>
  <c r="M219" i="56"/>
  <c r="N219" i="56"/>
  <c r="L220" i="56"/>
  <c r="M220" i="56"/>
  <c r="N220" i="56"/>
  <c r="L221" i="56"/>
  <c r="M221" i="56"/>
  <c r="N221" i="56"/>
  <c r="L222" i="56"/>
  <c r="M222" i="56"/>
  <c r="N222" i="56"/>
  <c r="L223" i="56"/>
  <c r="M223" i="56"/>
  <c r="N223" i="56"/>
  <c r="L224" i="56"/>
  <c r="M224" i="56"/>
  <c r="N224" i="56"/>
  <c r="L225" i="56"/>
  <c r="M225" i="56"/>
  <c r="N225" i="56"/>
  <c r="L226" i="56"/>
  <c r="M226" i="56"/>
  <c r="N226" i="56"/>
  <c r="L227" i="56"/>
  <c r="M227" i="56"/>
  <c r="N227" i="56"/>
  <c r="L228" i="56"/>
  <c r="M228" i="56"/>
  <c r="N228" i="56"/>
  <c r="L229" i="56"/>
  <c r="M229" i="56"/>
  <c r="N229" i="56"/>
  <c r="L230" i="56"/>
  <c r="M230" i="56"/>
  <c r="N230" i="56"/>
  <c r="L231" i="56"/>
  <c r="M231" i="56"/>
  <c r="N231" i="56"/>
  <c r="L232" i="56"/>
  <c r="M232" i="56"/>
  <c r="N232" i="56"/>
  <c r="L233" i="56"/>
  <c r="M233" i="56"/>
  <c r="N233" i="56"/>
  <c r="L234" i="56"/>
  <c r="M234" i="56"/>
  <c r="N234" i="56"/>
  <c r="L235" i="56"/>
  <c r="M235" i="56"/>
  <c r="N235" i="56"/>
  <c r="E236" i="56"/>
  <c r="L236" i="56"/>
  <c r="M236" i="56"/>
  <c r="L237" i="56"/>
  <c r="M237" i="56"/>
  <c r="N237" i="56"/>
  <c r="L238" i="56"/>
  <c r="M238" i="56"/>
  <c r="N238" i="56"/>
  <c r="L239" i="56"/>
  <c r="M239" i="56"/>
  <c r="N239" i="56"/>
  <c r="L240" i="56"/>
  <c r="M240" i="56"/>
  <c r="N240" i="56"/>
  <c r="L241" i="56"/>
  <c r="M241" i="56"/>
  <c r="N241" i="56"/>
  <c r="L242" i="56"/>
  <c r="M242" i="56"/>
  <c r="N242" i="56"/>
  <c r="L243" i="56"/>
  <c r="M243" i="56"/>
  <c r="N243" i="56"/>
  <c r="L244" i="56"/>
  <c r="M244" i="56"/>
  <c r="N244" i="56"/>
  <c r="L245" i="56"/>
  <c r="M245" i="56"/>
  <c r="N245" i="56"/>
  <c r="L246" i="56"/>
  <c r="M246" i="56"/>
  <c r="N246" i="56"/>
  <c r="L247" i="56"/>
  <c r="M247" i="56"/>
  <c r="N247" i="56"/>
  <c r="L248" i="56"/>
  <c r="M248" i="56"/>
  <c r="N248" i="56"/>
  <c r="L249" i="56"/>
  <c r="M249" i="56"/>
  <c r="N249" i="56"/>
  <c r="L250" i="56"/>
  <c r="M250" i="56"/>
  <c r="N250" i="56"/>
  <c r="L251" i="56"/>
  <c r="M251" i="56"/>
  <c r="N251" i="56"/>
  <c r="L252" i="56"/>
  <c r="M252" i="56"/>
  <c r="N252" i="56"/>
  <c r="L253" i="56"/>
  <c r="M253" i="56"/>
  <c r="N253" i="56"/>
  <c r="L254" i="56"/>
  <c r="M254" i="56"/>
  <c r="N254" i="56"/>
  <c r="L255" i="56"/>
  <c r="M255" i="56"/>
  <c r="N255" i="56"/>
  <c r="L256" i="56"/>
  <c r="M256" i="56"/>
  <c r="N256" i="56"/>
  <c r="E257" i="56"/>
  <c r="L257" i="56"/>
  <c r="M257" i="56"/>
  <c r="M6" i="62"/>
  <c r="N6" i="62"/>
  <c r="O6" i="62"/>
  <c r="P6" i="62"/>
  <c r="M7" i="62"/>
  <c r="N7" i="62"/>
  <c r="K17" i="64" s="1"/>
  <c r="O7" i="62"/>
  <c r="P7" i="62"/>
  <c r="R7" i="62"/>
  <c r="M8" i="62"/>
  <c r="N8" i="62"/>
  <c r="O8" i="62"/>
  <c r="P8" i="62"/>
  <c r="M9" i="62"/>
  <c r="N9" i="62"/>
  <c r="O9" i="62"/>
  <c r="P9" i="62"/>
  <c r="M10" i="62"/>
  <c r="N10" i="62"/>
  <c r="O10" i="62"/>
  <c r="P10" i="62"/>
  <c r="M11" i="62"/>
  <c r="N11" i="62"/>
  <c r="O11" i="62"/>
  <c r="P11" i="62"/>
  <c r="M12" i="62"/>
  <c r="N12" i="62"/>
  <c r="O12" i="62"/>
  <c r="P12" i="62"/>
  <c r="M13" i="62"/>
  <c r="N13" i="62"/>
  <c r="O13" i="62"/>
  <c r="P13" i="62"/>
  <c r="M14" i="62"/>
  <c r="N14" i="62"/>
  <c r="O14" i="62"/>
  <c r="P14" i="62"/>
  <c r="M15" i="62"/>
  <c r="N15" i="62"/>
  <c r="O15" i="62"/>
  <c r="P15" i="62"/>
  <c r="M16" i="62"/>
  <c r="N16" i="62"/>
  <c r="O16" i="62"/>
  <c r="P16" i="62"/>
  <c r="M17" i="62"/>
  <c r="N17" i="62"/>
  <c r="O17" i="62"/>
  <c r="P17" i="62"/>
  <c r="N18" i="62"/>
  <c r="O18" i="62"/>
  <c r="P18" i="62"/>
  <c r="M19" i="62"/>
  <c r="N19" i="62"/>
  <c r="O19" i="62"/>
  <c r="P19" i="62"/>
  <c r="M20" i="62"/>
  <c r="N20" i="62"/>
  <c r="O20" i="62"/>
  <c r="P20" i="62"/>
  <c r="M21" i="62"/>
  <c r="N21" i="62"/>
  <c r="O21" i="62"/>
  <c r="P21" i="62"/>
  <c r="M22" i="62"/>
  <c r="N22" i="62"/>
  <c r="O22" i="62"/>
  <c r="P22" i="62"/>
  <c r="M23" i="62"/>
  <c r="N23" i="62"/>
  <c r="O23" i="62"/>
  <c r="P23" i="62"/>
  <c r="M24" i="62"/>
  <c r="N24" i="62"/>
  <c r="O24" i="62"/>
  <c r="P24" i="62"/>
  <c r="M25" i="62"/>
  <c r="N25" i="62"/>
  <c r="O25" i="62"/>
  <c r="P25" i="62"/>
  <c r="M26" i="62"/>
  <c r="N26" i="62"/>
  <c r="O26" i="62"/>
  <c r="P26" i="62"/>
  <c r="R26" i="62"/>
  <c r="M27" i="62"/>
  <c r="N27" i="62"/>
  <c r="O27" i="62"/>
  <c r="P27" i="62"/>
  <c r="R27" i="62"/>
  <c r="M28" i="62"/>
  <c r="N28" i="62"/>
  <c r="O28" i="62"/>
  <c r="P28" i="62"/>
  <c r="R28" i="62"/>
  <c r="M29" i="62"/>
  <c r="N29" i="62"/>
  <c r="O29" i="62"/>
  <c r="P29" i="62"/>
  <c r="R29" i="62"/>
  <c r="M30" i="62"/>
  <c r="N30" i="62"/>
  <c r="O30" i="62"/>
  <c r="R30" i="62"/>
  <c r="E31" i="62"/>
  <c r="F31" i="62"/>
  <c r="M31" i="62"/>
  <c r="N31" i="62"/>
  <c r="M32" i="62"/>
  <c r="N32" i="62"/>
  <c r="O32" i="62"/>
  <c r="M33" i="62"/>
  <c r="N33" i="62"/>
  <c r="O33" i="62"/>
  <c r="M34" i="62"/>
  <c r="N34" i="62"/>
  <c r="O34" i="62"/>
  <c r="M35" i="62"/>
  <c r="N35" i="62"/>
  <c r="O35" i="62"/>
  <c r="M36" i="62"/>
  <c r="N36" i="62"/>
  <c r="O36" i="62"/>
  <c r="M37" i="62"/>
  <c r="N37" i="62"/>
  <c r="O37" i="62"/>
  <c r="M38" i="62"/>
  <c r="N38" i="62"/>
  <c r="O38" i="62"/>
  <c r="M39" i="62"/>
  <c r="N39" i="62"/>
  <c r="O39" i="62"/>
  <c r="M40" i="62"/>
  <c r="N40" i="62"/>
  <c r="O40" i="62"/>
  <c r="M41" i="62"/>
  <c r="N41" i="62"/>
  <c r="O41" i="62"/>
  <c r="M42" i="62"/>
  <c r="N42" i="62"/>
  <c r="O42" i="62"/>
  <c r="M43" i="62"/>
  <c r="N43" i="62"/>
  <c r="O43" i="62"/>
  <c r="M44" i="62"/>
  <c r="N44" i="62"/>
  <c r="O44" i="62"/>
  <c r="M45" i="62"/>
  <c r="N45" i="62"/>
  <c r="O45" i="62"/>
  <c r="M46" i="62"/>
  <c r="N46" i="62"/>
  <c r="O46" i="62"/>
  <c r="M47" i="62"/>
  <c r="N47" i="62"/>
  <c r="O47" i="62"/>
  <c r="M48" i="62"/>
  <c r="N48" i="62"/>
  <c r="O48" i="62"/>
  <c r="F49" i="62"/>
  <c r="M49" i="62"/>
  <c r="N49" i="62"/>
  <c r="M50" i="62"/>
  <c r="N50" i="62"/>
  <c r="O50" i="62"/>
  <c r="M51" i="62"/>
  <c r="N51" i="62"/>
  <c r="O51" i="62"/>
  <c r="M52" i="62"/>
  <c r="N52" i="62"/>
  <c r="O52" i="62"/>
  <c r="M53" i="62"/>
  <c r="N53" i="62"/>
  <c r="O53" i="62"/>
  <c r="M54" i="62"/>
  <c r="N54" i="62"/>
  <c r="O54" i="62"/>
  <c r="M55" i="62"/>
  <c r="N55" i="62"/>
  <c r="O55" i="62"/>
  <c r="M56" i="62"/>
  <c r="N56" i="62"/>
  <c r="O56" i="62"/>
  <c r="M57" i="62"/>
  <c r="N57" i="62"/>
  <c r="O57" i="62"/>
  <c r="M58" i="62"/>
  <c r="N58" i="62"/>
  <c r="O58" i="62"/>
  <c r="M59" i="62"/>
  <c r="N59" i="62"/>
  <c r="O59" i="62"/>
  <c r="M60" i="62"/>
  <c r="N60" i="62"/>
  <c r="O60" i="62"/>
  <c r="M61" i="62"/>
  <c r="N61" i="62"/>
  <c r="O61" i="62"/>
  <c r="M62" i="62"/>
  <c r="N62" i="62"/>
  <c r="O62" i="62"/>
  <c r="M63" i="62"/>
  <c r="N63" i="62"/>
  <c r="O63" i="62"/>
  <c r="M64" i="62"/>
  <c r="N64" i="62"/>
  <c r="O64" i="62"/>
  <c r="M65" i="62"/>
  <c r="N65" i="62"/>
  <c r="O65" i="62"/>
  <c r="M66" i="62"/>
  <c r="N66" i="62"/>
  <c r="O66" i="62"/>
  <c r="M67" i="62"/>
  <c r="N67" i="62"/>
  <c r="O67" i="62"/>
  <c r="M68" i="62"/>
  <c r="N68" i="62"/>
  <c r="O68" i="62"/>
  <c r="M69" i="62"/>
  <c r="N69" i="62"/>
  <c r="O69" i="62"/>
  <c r="F70" i="62"/>
  <c r="M70" i="62"/>
  <c r="N70" i="62"/>
  <c r="M71" i="62"/>
  <c r="N71" i="62"/>
  <c r="O71" i="62"/>
  <c r="M72" i="62"/>
  <c r="N72" i="62"/>
  <c r="O72" i="62"/>
  <c r="M73" i="62"/>
  <c r="N73" i="62"/>
  <c r="O73" i="62"/>
  <c r="M74" i="62"/>
  <c r="N74" i="62"/>
  <c r="O74" i="62"/>
  <c r="M75" i="62"/>
  <c r="N75" i="62"/>
  <c r="O75" i="62"/>
  <c r="M76" i="62"/>
  <c r="N76" i="62"/>
  <c r="O76" i="62"/>
  <c r="M77" i="62"/>
  <c r="N77" i="62"/>
  <c r="O77" i="62"/>
  <c r="M78" i="62"/>
  <c r="N78" i="62"/>
  <c r="O78" i="62"/>
  <c r="M79" i="62"/>
  <c r="N79" i="62"/>
  <c r="O79" i="62"/>
  <c r="M80" i="62"/>
  <c r="N80" i="62"/>
  <c r="O80" i="62"/>
  <c r="M81" i="62"/>
  <c r="N81" i="62"/>
  <c r="O81" i="62"/>
  <c r="M82" i="62"/>
  <c r="N82" i="62"/>
  <c r="O82" i="62"/>
  <c r="M83" i="62"/>
  <c r="N83" i="62"/>
  <c r="O83" i="62"/>
  <c r="M84" i="62"/>
  <c r="N84" i="62"/>
  <c r="O84" i="62"/>
  <c r="M85" i="62"/>
  <c r="N85" i="62"/>
  <c r="O85" i="62"/>
  <c r="M86" i="62"/>
  <c r="N86" i="62"/>
  <c r="O86" i="62"/>
  <c r="M87" i="62"/>
  <c r="N87" i="62"/>
  <c r="O87" i="62"/>
  <c r="M88" i="62"/>
  <c r="N88" i="62"/>
  <c r="O88" i="62"/>
  <c r="M89" i="62"/>
  <c r="N89" i="62"/>
  <c r="O89" i="62"/>
  <c r="M90" i="62"/>
  <c r="N90" i="62"/>
  <c r="O90" i="62"/>
  <c r="F91" i="62"/>
  <c r="M91" i="62"/>
  <c r="N91" i="62"/>
  <c r="M92" i="62"/>
  <c r="N92" i="62"/>
  <c r="O92" i="62"/>
  <c r="M93" i="62"/>
  <c r="N93" i="62"/>
  <c r="O93" i="62"/>
  <c r="M94" i="62"/>
  <c r="N94" i="62"/>
  <c r="O94" i="62"/>
  <c r="M95" i="62"/>
  <c r="N95" i="62"/>
  <c r="O95" i="62"/>
  <c r="M96" i="62"/>
  <c r="N96" i="62"/>
  <c r="O96" i="62"/>
  <c r="M97" i="62"/>
  <c r="N97" i="62"/>
  <c r="O97" i="62"/>
  <c r="M98" i="62"/>
  <c r="N98" i="62"/>
  <c r="O98" i="62"/>
  <c r="M99" i="62"/>
  <c r="N99" i="62"/>
  <c r="O99" i="62"/>
  <c r="M100" i="62"/>
  <c r="N100" i="62"/>
  <c r="O100" i="62"/>
  <c r="M101" i="62"/>
  <c r="N101" i="62"/>
  <c r="O101" i="62"/>
  <c r="M102" i="62"/>
  <c r="N102" i="62"/>
  <c r="O102" i="62"/>
  <c r="M103" i="62"/>
  <c r="N103" i="62"/>
  <c r="O103" i="62"/>
  <c r="M104" i="62"/>
  <c r="N104" i="62"/>
  <c r="O104" i="62"/>
  <c r="M105" i="62"/>
  <c r="N105" i="62"/>
  <c r="O105" i="62"/>
  <c r="M106" i="62"/>
  <c r="N106" i="62"/>
  <c r="O106" i="62"/>
  <c r="M107" i="62"/>
  <c r="N107" i="62"/>
  <c r="O107" i="62"/>
  <c r="M108" i="62"/>
  <c r="N108" i="62"/>
  <c r="O108" i="62"/>
  <c r="M109" i="62"/>
  <c r="N109" i="62"/>
  <c r="O109" i="62"/>
  <c r="M110" i="62"/>
  <c r="N110" i="62"/>
  <c r="O110" i="62"/>
  <c r="M111" i="62"/>
  <c r="N111" i="62"/>
  <c r="O111" i="62"/>
  <c r="F112" i="62"/>
  <c r="M112" i="62"/>
  <c r="N112" i="62"/>
  <c r="M113" i="62"/>
  <c r="N113" i="62"/>
  <c r="O113" i="62"/>
  <c r="M114" i="62"/>
  <c r="N114" i="62"/>
  <c r="O114" i="62"/>
  <c r="M115" i="62"/>
  <c r="N115" i="62"/>
  <c r="O115" i="62"/>
  <c r="M116" i="62"/>
  <c r="N116" i="62"/>
  <c r="O116" i="62"/>
  <c r="M117" i="62"/>
  <c r="N117" i="62"/>
  <c r="O117" i="62"/>
  <c r="M118" i="62"/>
  <c r="N118" i="62"/>
  <c r="O118" i="62"/>
  <c r="M119" i="62"/>
  <c r="N119" i="62"/>
  <c r="O119" i="62"/>
  <c r="M120" i="62"/>
  <c r="N120" i="62"/>
  <c r="O120" i="62"/>
  <c r="M121" i="62"/>
  <c r="N121" i="62"/>
  <c r="O121" i="62"/>
  <c r="M122" i="62"/>
  <c r="N122" i="62"/>
  <c r="O122" i="62"/>
  <c r="M123" i="62"/>
  <c r="N123" i="62"/>
  <c r="O123" i="62"/>
  <c r="M124" i="62"/>
  <c r="N124" i="62"/>
  <c r="O124" i="62"/>
  <c r="M125" i="62"/>
  <c r="N125" i="62"/>
  <c r="O125" i="62"/>
  <c r="M126" i="62"/>
  <c r="N126" i="62"/>
  <c r="O126" i="62"/>
  <c r="M127" i="62"/>
  <c r="N127" i="62"/>
  <c r="O127" i="62"/>
  <c r="M128" i="62"/>
  <c r="N128" i="62"/>
  <c r="O128" i="62"/>
  <c r="M129" i="62"/>
  <c r="N129" i="62"/>
  <c r="O129" i="62"/>
  <c r="M130" i="62"/>
  <c r="N130" i="62"/>
  <c r="O130" i="62"/>
  <c r="M131" i="62"/>
  <c r="N131" i="62"/>
  <c r="O131" i="62"/>
  <c r="M132" i="62"/>
  <c r="N132" i="62"/>
  <c r="O132" i="62"/>
  <c r="F133" i="62"/>
  <c r="M133" i="62"/>
  <c r="N133" i="62"/>
  <c r="M134" i="62"/>
  <c r="N134" i="62"/>
  <c r="O134" i="62"/>
  <c r="M135" i="62"/>
  <c r="N135" i="62"/>
  <c r="O135" i="62"/>
  <c r="M136" i="62"/>
  <c r="N136" i="62"/>
  <c r="O136" i="62"/>
  <c r="M137" i="62"/>
  <c r="N137" i="62"/>
  <c r="O137" i="62"/>
  <c r="M138" i="62"/>
  <c r="N138" i="62"/>
  <c r="O138" i="62"/>
  <c r="M139" i="62"/>
  <c r="N139" i="62"/>
  <c r="O139" i="62"/>
  <c r="M140" i="62"/>
  <c r="N140" i="62"/>
  <c r="O140" i="62"/>
  <c r="M141" i="62"/>
  <c r="N141" i="62"/>
  <c r="O141" i="62"/>
  <c r="M142" i="62"/>
  <c r="N142" i="62"/>
  <c r="O142" i="62"/>
  <c r="M143" i="62"/>
  <c r="N143" i="62"/>
  <c r="O143" i="62"/>
  <c r="M144" i="62"/>
  <c r="N144" i="62"/>
  <c r="O144" i="62"/>
  <c r="M145" i="62"/>
  <c r="N145" i="62"/>
  <c r="O145" i="62"/>
  <c r="M146" i="62"/>
  <c r="N146" i="62"/>
  <c r="O146" i="62"/>
  <c r="M147" i="62"/>
  <c r="N147" i="62"/>
  <c r="O147" i="62"/>
  <c r="M148" i="62"/>
  <c r="N148" i="62"/>
  <c r="O148" i="62"/>
  <c r="M149" i="62"/>
  <c r="N149" i="62"/>
  <c r="O149" i="62"/>
  <c r="M150" i="62"/>
  <c r="N150" i="62"/>
  <c r="O150" i="62"/>
  <c r="M151" i="62"/>
  <c r="N151" i="62"/>
  <c r="O151" i="62"/>
  <c r="M152" i="62"/>
  <c r="N152" i="62"/>
  <c r="O152" i="62"/>
  <c r="M153" i="62"/>
  <c r="N153" i="62"/>
  <c r="O153" i="62"/>
  <c r="F154" i="62"/>
  <c r="M154" i="62"/>
  <c r="N154" i="62"/>
  <c r="M155" i="62"/>
  <c r="N155" i="62"/>
  <c r="O155" i="62"/>
  <c r="M156" i="62"/>
  <c r="N156" i="62"/>
  <c r="O156" i="62"/>
  <c r="M157" i="62"/>
  <c r="N157" i="62"/>
  <c r="O157" i="62"/>
  <c r="M158" i="62"/>
  <c r="N158" i="62"/>
  <c r="O158" i="62"/>
  <c r="M159" i="62"/>
  <c r="N159" i="62"/>
  <c r="O159" i="62"/>
  <c r="M160" i="62"/>
  <c r="N160" i="62"/>
  <c r="O160" i="62"/>
  <c r="M161" i="62"/>
  <c r="N161" i="62"/>
  <c r="O161" i="62"/>
  <c r="M162" i="62"/>
  <c r="N162" i="62"/>
  <c r="O162" i="62"/>
  <c r="M163" i="62"/>
  <c r="N163" i="62"/>
  <c r="O163" i="62"/>
  <c r="M164" i="62"/>
  <c r="N164" i="62"/>
  <c r="O164" i="62"/>
  <c r="M165" i="62"/>
  <c r="N165" i="62"/>
  <c r="O165" i="62"/>
  <c r="M166" i="62"/>
  <c r="N166" i="62"/>
  <c r="O166" i="62"/>
  <c r="M167" i="62"/>
  <c r="N167" i="62"/>
  <c r="O167" i="62"/>
  <c r="M168" i="62"/>
  <c r="N168" i="62"/>
  <c r="O168" i="62"/>
  <c r="M169" i="62"/>
  <c r="N169" i="62"/>
  <c r="O169" i="62"/>
  <c r="M170" i="62"/>
  <c r="N170" i="62"/>
  <c r="O170" i="62"/>
  <c r="M171" i="62"/>
  <c r="N171" i="62"/>
  <c r="O171" i="62"/>
  <c r="M172" i="62"/>
  <c r="N172" i="62"/>
  <c r="O172" i="62"/>
  <c r="M173" i="62"/>
  <c r="N173" i="62"/>
  <c r="O173" i="62"/>
  <c r="M174" i="62"/>
  <c r="N174" i="62"/>
  <c r="O174" i="62"/>
  <c r="F175" i="62"/>
  <c r="M175" i="62"/>
  <c r="N175" i="62"/>
  <c r="M176" i="62"/>
  <c r="N176" i="62"/>
  <c r="O176" i="62"/>
  <c r="M177" i="62"/>
  <c r="N177" i="62"/>
  <c r="O177" i="62"/>
  <c r="M178" i="62"/>
  <c r="N178" i="62"/>
  <c r="O178" i="62"/>
  <c r="M179" i="62"/>
  <c r="N179" i="62"/>
  <c r="O179" i="62"/>
  <c r="M180" i="62"/>
  <c r="N180" i="62"/>
  <c r="O180" i="62"/>
  <c r="M181" i="62"/>
  <c r="N181" i="62"/>
  <c r="O181" i="62"/>
  <c r="M182" i="62"/>
  <c r="N182" i="62"/>
  <c r="O182" i="62"/>
  <c r="M183" i="62"/>
  <c r="N183" i="62"/>
  <c r="O183" i="62"/>
  <c r="M184" i="62"/>
  <c r="N184" i="62"/>
  <c r="O184" i="62"/>
  <c r="M185" i="62"/>
  <c r="N185" i="62"/>
  <c r="O185" i="62"/>
  <c r="M186" i="62"/>
  <c r="N186" i="62"/>
  <c r="O186" i="62"/>
  <c r="M187" i="62"/>
  <c r="N187" i="62"/>
  <c r="O187" i="62"/>
  <c r="M188" i="62"/>
  <c r="N188" i="62"/>
  <c r="O188" i="62"/>
  <c r="M189" i="62"/>
  <c r="N189" i="62"/>
  <c r="O189" i="62"/>
  <c r="M190" i="62"/>
  <c r="N190" i="62"/>
  <c r="O190" i="62"/>
  <c r="M191" i="62"/>
  <c r="N191" i="62"/>
  <c r="O191" i="62"/>
  <c r="M192" i="62"/>
  <c r="N192" i="62"/>
  <c r="O192" i="62"/>
  <c r="M193" i="62"/>
  <c r="N193" i="62"/>
  <c r="O193" i="62"/>
  <c r="M194" i="62"/>
  <c r="N194" i="62"/>
  <c r="O194" i="62"/>
  <c r="M195" i="62"/>
  <c r="N195" i="62"/>
  <c r="O195" i="62"/>
  <c r="F196" i="62"/>
  <c r="M196" i="62"/>
  <c r="N196" i="62"/>
  <c r="M197" i="62"/>
  <c r="N197" i="62"/>
  <c r="O197" i="62"/>
  <c r="M198" i="62"/>
  <c r="N198" i="62"/>
  <c r="O198" i="62"/>
  <c r="M199" i="62"/>
  <c r="N199" i="62"/>
  <c r="O199" i="62"/>
  <c r="M200" i="62"/>
  <c r="N200" i="62"/>
  <c r="O200" i="62"/>
  <c r="M201" i="62"/>
  <c r="N201" i="62"/>
  <c r="O201" i="62"/>
  <c r="M202" i="62"/>
  <c r="N202" i="62"/>
  <c r="O202" i="62"/>
  <c r="M203" i="62"/>
  <c r="N203" i="62"/>
  <c r="O203" i="62"/>
  <c r="M204" i="62"/>
  <c r="N204" i="62"/>
  <c r="O204" i="62"/>
  <c r="M205" i="62"/>
  <c r="N205" i="62"/>
  <c r="O205" i="62"/>
  <c r="M206" i="62"/>
  <c r="N206" i="62"/>
  <c r="O206" i="62"/>
  <c r="M207" i="62"/>
  <c r="N207" i="62"/>
  <c r="O207" i="62"/>
  <c r="M208" i="62"/>
  <c r="N208" i="62"/>
  <c r="O208" i="62"/>
  <c r="M209" i="62"/>
  <c r="N209" i="62"/>
  <c r="O209" i="62"/>
  <c r="M210" i="62"/>
  <c r="N210" i="62"/>
  <c r="O210" i="62"/>
  <c r="M211" i="62"/>
  <c r="N211" i="62"/>
  <c r="O211" i="62"/>
  <c r="M212" i="62"/>
  <c r="N212" i="62"/>
  <c r="O212" i="62"/>
  <c r="M213" i="62"/>
  <c r="N213" i="62"/>
  <c r="O213" i="62"/>
  <c r="M214" i="62"/>
  <c r="N214" i="62"/>
  <c r="O214" i="62"/>
  <c r="M215" i="62"/>
  <c r="N215" i="62"/>
  <c r="O215" i="62"/>
  <c r="M216" i="62"/>
  <c r="N216" i="62"/>
  <c r="O216" i="62"/>
  <c r="F217" i="62"/>
  <c r="M217" i="62"/>
  <c r="N217" i="62"/>
  <c r="M218" i="62"/>
  <c r="N218" i="62"/>
  <c r="O218" i="62"/>
  <c r="M219" i="62"/>
  <c r="N219" i="62"/>
  <c r="O219" i="62"/>
  <c r="M220" i="62"/>
  <c r="N220" i="62"/>
  <c r="O220" i="62"/>
  <c r="M221" i="62"/>
  <c r="N221" i="62"/>
  <c r="O221" i="62"/>
  <c r="M222" i="62"/>
  <c r="N222" i="62"/>
  <c r="O222" i="62"/>
  <c r="M223" i="62"/>
  <c r="N223" i="62"/>
  <c r="O223" i="62"/>
  <c r="M224" i="62"/>
  <c r="N224" i="62"/>
  <c r="O224" i="62"/>
  <c r="M225" i="62"/>
  <c r="N225" i="62"/>
  <c r="O225" i="62"/>
  <c r="M226" i="62"/>
  <c r="N226" i="62"/>
  <c r="O226" i="62"/>
  <c r="M227" i="62"/>
  <c r="N227" i="62"/>
  <c r="O227" i="62"/>
  <c r="M228" i="62"/>
  <c r="N228" i="62"/>
  <c r="O228" i="62"/>
  <c r="M229" i="62"/>
  <c r="N229" i="62"/>
  <c r="O229" i="62"/>
  <c r="M230" i="62"/>
  <c r="N230" i="62"/>
  <c r="O230" i="62"/>
  <c r="M231" i="62"/>
  <c r="N231" i="62"/>
  <c r="O231" i="62"/>
  <c r="M232" i="62"/>
  <c r="N232" i="62"/>
  <c r="O232" i="62"/>
  <c r="M233" i="62"/>
  <c r="N233" i="62"/>
  <c r="O233" i="62"/>
  <c r="M234" i="62"/>
  <c r="N234" i="62"/>
  <c r="O234" i="62"/>
  <c r="M235" i="62"/>
  <c r="N235" i="62"/>
  <c r="O235" i="62"/>
  <c r="M236" i="62"/>
  <c r="N236" i="62"/>
  <c r="O236" i="62"/>
  <c r="M237" i="62"/>
  <c r="N237" i="62"/>
  <c r="O237" i="62"/>
  <c r="F238" i="62"/>
  <c r="M238" i="62"/>
  <c r="N238" i="62"/>
  <c r="M239" i="62"/>
  <c r="N239" i="62"/>
  <c r="O239" i="62"/>
  <c r="M240" i="62"/>
  <c r="N240" i="62"/>
  <c r="O240" i="62"/>
  <c r="M241" i="62"/>
  <c r="N241" i="62"/>
  <c r="O241" i="62"/>
  <c r="M242" i="62"/>
  <c r="N242" i="62"/>
  <c r="O242" i="62"/>
  <c r="M243" i="62"/>
  <c r="N243" i="62"/>
  <c r="O243" i="62"/>
  <c r="M244" i="62"/>
  <c r="N244" i="62"/>
  <c r="O244" i="62"/>
  <c r="M245" i="62"/>
  <c r="N245" i="62"/>
  <c r="O245" i="62"/>
  <c r="M246" i="62"/>
  <c r="N246" i="62"/>
  <c r="O246" i="62"/>
  <c r="M247" i="62"/>
  <c r="N247" i="62"/>
  <c r="O247" i="62"/>
  <c r="M248" i="62"/>
  <c r="N248" i="62"/>
  <c r="O248" i="62"/>
  <c r="M249" i="62"/>
  <c r="N249" i="62"/>
  <c r="O249" i="62"/>
  <c r="M250" i="62"/>
  <c r="N250" i="62"/>
  <c r="O250" i="62"/>
  <c r="M251" i="62"/>
  <c r="N251" i="62"/>
  <c r="O251" i="62"/>
  <c r="M252" i="62"/>
  <c r="N252" i="62"/>
  <c r="O252" i="62"/>
  <c r="M253" i="62"/>
  <c r="N253" i="62"/>
  <c r="O253" i="62"/>
  <c r="M254" i="62"/>
  <c r="N254" i="62"/>
  <c r="O254" i="62"/>
  <c r="M255" i="62"/>
  <c r="N255" i="62"/>
  <c r="O255" i="62"/>
  <c r="M256" i="62"/>
  <c r="N256" i="62"/>
  <c r="O256" i="62"/>
  <c r="M257" i="62"/>
  <c r="N257" i="62"/>
  <c r="O257" i="62"/>
  <c r="M258" i="62"/>
  <c r="N258" i="62"/>
  <c r="O258" i="62"/>
  <c r="F259" i="62"/>
  <c r="M259" i="62"/>
  <c r="N259" i="62"/>
  <c r="V2" i="64"/>
  <c r="B7" i="64"/>
  <c r="D7" i="64"/>
  <c r="E7" i="64"/>
  <c r="G7" i="64"/>
  <c r="B8" i="64"/>
  <c r="D8" i="64"/>
  <c r="E8" i="64"/>
  <c r="G8" i="64"/>
  <c r="B9" i="64"/>
  <c r="D9" i="64"/>
  <c r="E9" i="64"/>
  <c r="G9" i="64"/>
  <c r="B10" i="64"/>
  <c r="D10" i="64"/>
  <c r="E10" i="64"/>
  <c r="G10" i="64"/>
  <c r="B11" i="64"/>
  <c r="D11" i="64"/>
  <c r="E11" i="64"/>
  <c r="G11" i="64"/>
  <c r="B12" i="64"/>
  <c r="D12" i="64"/>
  <c r="E12" i="64"/>
  <c r="G12" i="64"/>
  <c r="B13" i="64"/>
  <c r="D13" i="64"/>
  <c r="E13" i="64"/>
  <c r="G13" i="64"/>
  <c r="B14" i="64"/>
  <c r="D14" i="64"/>
  <c r="E14" i="64"/>
  <c r="G14" i="64"/>
  <c r="B15" i="64"/>
  <c r="D15" i="64"/>
  <c r="E15" i="64"/>
  <c r="G15" i="64"/>
  <c r="B16" i="64"/>
  <c r="D16" i="64"/>
  <c r="E16" i="64"/>
  <c r="G16" i="64"/>
  <c r="B17" i="64"/>
  <c r="D17" i="64"/>
  <c r="E17" i="64"/>
  <c r="G17" i="64"/>
  <c r="B18" i="64"/>
  <c r="D18" i="64"/>
  <c r="E18" i="64"/>
  <c r="G18" i="64"/>
  <c r="B19" i="64"/>
  <c r="D19" i="64"/>
  <c r="E19" i="64"/>
  <c r="G19" i="64"/>
  <c r="B20" i="64"/>
  <c r="D20" i="64"/>
  <c r="E20" i="64"/>
  <c r="G20" i="64"/>
  <c r="B21" i="64"/>
  <c r="D21" i="64"/>
  <c r="E21" i="64"/>
  <c r="G21" i="64"/>
  <c r="B22" i="64"/>
  <c r="D22" i="64"/>
  <c r="E22" i="64"/>
  <c r="G22" i="64"/>
  <c r="B23" i="64"/>
  <c r="D23" i="64"/>
  <c r="E23" i="64"/>
  <c r="G23" i="64"/>
  <c r="B24" i="64"/>
  <c r="D24" i="64"/>
  <c r="E24" i="64"/>
  <c r="G24" i="64"/>
  <c r="B25" i="64"/>
  <c r="D25" i="64"/>
  <c r="E25" i="64"/>
  <c r="G25" i="64"/>
  <c r="B26" i="64"/>
  <c r="D26" i="64"/>
  <c r="E26" i="64"/>
  <c r="G26" i="64"/>
  <c r="B27" i="64"/>
  <c r="D27" i="64"/>
  <c r="E27" i="64"/>
  <c r="G27" i="64"/>
  <c r="B28" i="64"/>
  <c r="D28" i="64"/>
  <c r="E28" i="64"/>
  <c r="G28" i="64"/>
  <c r="B29" i="64"/>
  <c r="D29" i="64"/>
  <c r="E29" i="64"/>
  <c r="G29" i="64"/>
  <c r="B30" i="64"/>
  <c r="D30" i="64"/>
  <c r="E30" i="64"/>
  <c r="G30" i="64"/>
  <c r="B31" i="64"/>
  <c r="D31" i="64"/>
  <c r="E31" i="64"/>
  <c r="G31" i="64"/>
  <c r="T33" i="64"/>
  <c r="W33" i="64"/>
  <c r="B38" i="64"/>
  <c r="D38" i="64"/>
  <c r="E38" i="64"/>
  <c r="G38" i="64"/>
  <c r="B39" i="64"/>
  <c r="D39" i="64"/>
  <c r="E39" i="64"/>
  <c r="G39" i="64"/>
  <c r="S39" i="64"/>
  <c r="B40" i="64"/>
  <c r="D40" i="64"/>
  <c r="E40" i="64"/>
  <c r="G40" i="64"/>
  <c r="B41" i="64"/>
  <c r="D41" i="64"/>
  <c r="D37" i="64" s="1"/>
  <c r="E41" i="64"/>
  <c r="G41" i="64"/>
  <c r="B42" i="64"/>
  <c r="D42" i="64"/>
  <c r="E42" i="64"/>
  <c r="G42" i="64"/>
  <c r="B43" i="64"/>
  <c r="D43" i="64"/>
  <c r="E43" i="64"/>
  <c r="G43" i="64"/>
  <c r="B44" i="64"/>
  <c r="D44" i="64"/>
  <c r="E44" i="64"/>
  <c r="G44" i="64"/>
  <c r="B45" i="64"/>
  <c r="D45" i="64"/>
  <c r="E45" i="64"/>
  <c r="G45" i="64"/>
  <c r="B46" i="64"/>
  <c r="D46" i="64"/>
  <c r="E46" i="64"/>
  <c r="G46" i="64"/>
  <c r="B47" i="64"/>
  <c r="D47" i="64"/>
  <c r="E47" i="64"/>
  <c r="G47" i="64"/>
  <c r="B48" i="64"/>
  <c r="D48" i="64"/>
  <c r="E48" i="64"/>
  <c r="G48" i="64"/>
  <c r="B49" i="64"/>
  <c r="D49" i="64"/>
  <c r="E49" i="64"/>
  <c r="G49" i="64"/>
  <c r="B50" i="64"/>
  <c r="D50" i="64"/>
  <c r="E50" i="64"/>
  <c r="G50" i="64"/>
  <c r="B51" i="64"/>
  <c r="D51" i="64"/>
  <c r="E51" i="64"/>
  <c r="G51" i="64"/>
  <c r="B52" i="64"/>
  <c r="D52" i="64"/>
  <c r="E52" i="64"/>
  <c r="G52" i="64"/>
  <c r="P52" i="64"/>
  <c r="B53" i="64"/>
  <c r="D53" i="64"/>
  <c r="E53" i="64"/>
  <c r="G53" i="64"/>
  <c r="B54" i="64"/>
  <c r="D54" i="64"/>
  <c r="E54" i="64"/>
  <c r="G54" i="64"/>
  <c r="B55" i="64"/>
  <c r="D55" i="64"/>
  <c r="E55" i="64"/>
  <c r="G55" i="64"/>
  <c r="B56" i="64"/>
  <c r="D56" i="64"/>
  <c r="E56" i="64"/>
  <c r="G56" i="64"/>
  <c r="B57" i="64"/>
  <c r="D57" i="64"/>
  <c r="E57" i="64"/>
  <c r="G57" i="64"/>
  <c r="B58" i="64"/>
  <c r="D58" i="64"/>
  <c r="E58" i="64"/>
  <c r="G58" i="64"/>
  <c r="B59" i="64"/>
  <c r="D59" i="64"/>
  <c r="E59" i="64"/>
  <c r="G59" i="64"/>
  <c r="B60" i="64"/>
  <c r="D60" i="64"/>
  <c r="E60" i="64"/>
  <c r="G60" i="64"/>
  <c r="B61" i="64"/>
  <c r="D61" i="64"/>
  <c r="E61" i="64"/>
  <c r="G61" i="64"/>
  <c r="B62" i="64"/>
  <c r="D62" i="64"/>
  <c r="E62" i="64"/>
  <c r="G62" i="64"/>
  <c r="T63" i="64"/>
  <c r="W63" i="64"/>
  <c r="B68" i="64"/>
  <c r="D68" i="64"/>
  <c r="E68" i="64"/>
  <c r="G68" i="64"/>
  <c r="B69" i="64"/>
  <c r="D69" i="64"/>
  <c r="E69" i="64"/>
  <c r="G69" i="64"/>
  <c r="B70" i="64"/>
  <c r="D70" i="64"/>
  <c r="E70" i="64"/>
  <c r="G70" i="64"/>
  <c r="B71" i="64"/>
  <c r="D71" i="64"/>
  <c r="E71" i="64"/>
  <c r="G71" i="64"/>
  <c r="B72" i="64"/>
  <c r="D72" i="64"/>
  <c r="E72" i="64"/>
  <c r="G72" i="64"/>
  <c r="B73" i="64"/>
  <c r="D73" i="64"/>
  <c r="E73" i="64"/>
  <c r="G73" i="64"/>
  <c r="B74" i="64"/>
  <c r="D74" i="64"/>
  <c r="E74" i="64"/>
  <c r="G74" i="64"/>
  <c r="B75" i="64"/>
  <c r="D75" i="64"/>
  <c r="E75" i="64"/>
  <c r="G75" i="64"/>
  <c r="B76" i="64"/>
  <c r="D76" i="64"/>
  <c r="E76" i="64"/>
  <c r="G76" i="64"/>
  <c r="B77" i="64"/>
  <c r="D77" i="64"/>
  <c r="E77" i="64"/>
  <c r="G77" i="64"/>
  <c r="B78" i="64"/>
  <c r="D78" i="64"/>
  <c r="E78" i="64"/>
  <c r="G78" i="64"/>
  <c r="Q78" i="64"/>
  <c r="B79" i="64"/>
  <c r="D79" i="64"/>
  <c r="E79" i="64"/>
  <c r="G79" i="64"/>
  <c r="B80" i="64"/>
  <c r="D80" i="64"/>
  <c r="E80" i="64"/>
  <c r="G80" i="64"/>
  <c r="B81" i="64"/>
  <c r="D81" i="64"/>
  <c r="E81" i="64"/>
  <c r="G81" i="64"/>
  <c r="B82" i="64"/>
  <c r="D82" i="64"/>
  <c r="E82" i="64"/>
  <c r="G82" i="64"/>
  <c r="Q82" i="64"/>
  <c r="B83" i="64"/>
  <c r="D83" i="64"/>
  <c r="E83" i="64"/>
  <c r="G83" i="64"/>
  <c r="B84" i="64"/>
  <c r="D84" i="64"/>
  <c r="E84" i="64"/>
  <c r="G84" i="64"/>
  <c r="B85" i="64"/>
  <c r="D85" i="64"/>
  <c r="E85" i="64"/>
  <c r="G85" i="64"/>
  <c r="B86" i="64"/>
  <c r="D86" i="64"/>
  <c r="E86" i="64"/>
  <c r="G86" i="64"/>
  <c r="B87" i="64"/>
  <c r="D87" i="64"/>
  <c r="E87" i="64"/>
  <c r="G87" i="64"/>
  <c r="M87" i="64"/>
  <c r="B88" i="64"/>
  <c r="D88" i="64"/>
  <c r="E88" i="64"/>
  <c r="G88" i="64"/>
  <c r="H88" i="64"/>
  <c r="B89" i="64"/>
  <c r="D89" i="64"/>
  <c r="E89" i="64"/>
  <c r="G89" i="64"/>
  <c r="B90" i="64"/>
  <c r="D90" i="64"/>
  <c r="E90" i="64"/>
  <c r="G90" i="64"/>
  <c r="B91" i="64"/>
  <c r="D91" i="64"/>
  <c r="E91" i="64"/>
  <c r="G91" i="64"/>
  <c r="B92" i="64"/>
  <c r="D92" i="64"/>
  <c r="E92" i="64"/>
  <c r="G92" i="64"/>
  <c r="O6" i="68"/>
  <c r="P6" i="68"/>
  <c r="Q6" i="68"/>
  <c r="O7" i="68"/>
  <c r="P7" i="68"/>
  <c r="Q7" i="68"/>
  <c r="O8" i="68"/>
  <c r="P8" i="68"/>
  <c r="Q8" i="68"/>
  <c r="O9" i="68"/>
  <c r="P9" i="68"/>
  <c r="Q9" i="68"/>
  <c r="O10" i="68"/>
  <c r="P10" i="68"/>
  <c r="Q10" i="68"/>
  <c r="O11" i="68"/>
  <c r="P11" i="68"/>
  <c r="O12" i="68"/>
  <c r="P12" i="68"/>
  <c r="Q12" i="68"/>
  <c r="O13" i="68"/>
  <c r="P13" i="68"/>
  <c r="Q13" i="68"/>
  <c r="O14" i="68"/>
  <c r="P14" i="68"/>
  <c r="Q14" i="68"/>
  <c r="O15" i="68"/>
  <c r="P15" i="68"/>
  <c r="Q15" i="68"/>
  <c r="O16" i="68"/>
  <c r="P16" i="68"/>
  <c r="Q16" i="68"/>
  <c r="O17" i="68"/>
  <c r="P17" i="68"/>
  <c r="Q17" i="68"/>
  <c r="O18" i="68"/>
  <c r="P18" i="68"/>
  <c r="Q18" i="68"/>
  <c r="O19" i="68"/>
  <c r="P19" i="68"/>
  <c r="Q19" i="68"/>
  <c r="O20" i="68"/>
  <c r="P20" i="68"/>
  <c r="Q20" i="68"/>
  <c r="O21" i="68"/>
  <c r="P21" i="68"/>
  <c r="Q21" i="68"/>
  <c r="O22" i="68"/>
  <c r="P22" i="68"/>
  <c r="Q22" i="68"/>
  <c r="O23" i="68"/>
  <c r="P23" i="68"/>
  <c r="Q23" i="68"/>
  <c r="O24" i="68"/>
  <c r="P24" i="68"/>
  <c r="Q24" i="68"/>
  <c r="O25" i="68"/>
  <c r="P25" i="68"/>
  <c r="Q25" i="68"/>
  <c r="O26" i="68"/>
  <c r="P26" i="68"/>
  <c r="Q26" i="68"/>
  <c r="O27" i="68"/>
  <c r="P27" i="68"/>
  <c r="Q27" i="68"/>
  <c r="O28" i="68"/>
  <c r="P28" i="68"/>
  <c r="Q28" i="68"/>
  <c r="O29" i="68"/>
  <c r="P29" i="68"/>
  <c r="Q29" i="68"/>
  <c r="O30" i="68"/>
  <c r="P30" i="68"/>
  <c r="Q30" i="68"/>
  <c r="F31" i="68"/>
  <c r="G31" i="68"/>
  <c r="O31" i="68"/>
  <c r="O32" i="68"/>
  <c r="P32" i="68"/>
  <c r="Q32" i="68"/>
  <c r="O33" i="68"/>
  <c r="P33" i="68"/>
  <c r="Q33" i="68"/>
  <c r="O34" i="68"/>
  <c r="P34" i="68"/>
  <c r="Q34" i="68"/>
  <c r="O35" i="68"/>
  <c r="P35" i="68"/>
  <c r="Q35" i="68"/>
  <c r="O36" i="68"/>
  <c r="P36" i="68"/>
  <c r="Q36" i="68"/>
  <c r="O37" i="68"/>
  <c r="P37" i="68"/>
  <c r="Q37" i="68"/>
  <c r="O38" i="68"/>
  <c r="P38" i="68"/>
  <c r="Q38" i="68"/>
  <c r="O39" i="68"/>
  <c r="P39" i="68"/>
  <c r="Q39" i="68"/>
  <c r="O40" i="68"/>
  <c r="P40" i="68"/>
  <c r="Q40" i="68"/>
  <c r="O41" i="68"/>
  <c r="P41" i="68"/>
  <c r="Q41" i="68"/>
  <c r="O42" i="68"/>
  <c r="P42" i="68"/>
  <c r="Q42" i="68"/>
  <c r="O65" i="68"/>
  <c r="P65" i="68"/>
  <c r="Q65" i="68"/>
  <c r="O66" i="68"/>
  <c r="P66" i="68"/>
  <c r="Q66" i="68"/>
  <c r="O67" i="68"/>
  <c r="P67" i="68"/>
  <c r="Q67" i="68"/>
  <c r="O68" i="68"/>
  <c r="P68" i="68"/>
  <c r="Q68" i="68"/>
  <c r="O69" i="68"/>
  <c r="P69" i="68"/>
  <c r="Q69" i="68"/>
  <c r="O70" i="68"/>
  <c r="P70" i="68"/>
  <c r="Q70" i="68"/>
  <c r="O71" i="68"/>
  <c r="P71" i="68"/>
  <c r="Q71" i="68"/>
  <c r="O72" i="68"/>
  <c r="P72" i="68"/>
  <c r="Q72" i="68"/>
  <c r="O73" i="68"/>
  <c r="P73" i="68"/>
  <c r="Q73" i="68"/>
  <c r="O74" i="68"/>
  <c r="O75" i="68"/>
  <c r="O76" i="68"/>
  <c r="O77" i="68"/>
  <c r="O78" i="68"/>
  <c r="G79" i="68"/>
  <c r="O79" i="68"/>
  <c r="O80" i="68"/>
  <c r="O81" i="68"/>
  <c r="O82" i="68"/>
  <c r="O83" i="68"/>
  <c r="P83" i="68"/>
  <c r="O84" i="68"/>
  <c r="P84" i="68"/>
  <c r="O85" i="68"/>
  <c r="P85" i="68"/>
  <c r="O86" i="68"/>
  <c r="P86" i="68"/>
  <c r="O87" i="68"/>
  <c r="P87" i="68"/>
  <c r="O88" i="68"/>
  <c r="P88" i="68"/>
  <c r="O89" i="68"/>
  <c r="P89" i="68"/>
  <c r="O90" i="68"/>
  <c r="P90" i="68"/>
  <c r="O91" i="68"/>
  <c r="P91" i="68"/>
  <c r="O92" i="68"/>
  <c r="P92" i="68"/>
  <c r="O93" i="68"/>
  <c r="P93" i="68"/>
  <c r="O94" i="68"/>
  <c r="P94" i="68"/>
  <c r="O95" i="68"/>
  <c r="P95" i="68"/>
  <c r="O96" i="68"/>
  <c r="P96" i="68"/>
  <c r="O97" i="68"/>
  <c r="P97" i="68"/>
  <c r="O98" i="68"/>
  <c r="P98" i="68"/>
  <c r="O99" i="68"/>
  <c r="P99" i="68"/>
  <c r="G100" i="68"/>
  <c r="O100" i="68"/>
  <c r="O101" i="68"/>
  <c r="P101" i="68"/>
  <c r="O102" i="68"/>
  <c r="P102" i="68"/>
  <c r="O103" i="68"/>
  <c r="P103" i="68"/>
  <c r="O104" i="68"/>
  <c r="P104" i="68"/>
  <c r="O105" i="68"/>
  <c r="P105" i="68"/>
  <c r="O106" i="68"/>
  <c r="P106" i="68"/>
  <c r="O107" i="68"/>
  <c r="P107" i="68"/>
  <c r="O108" i="68"/>
  <c r="P108" i="68"/>
  <c r="O109" i="68"/>
  <c r="P109" i="68"/>
  <c r="O110" i="68"/>
  <c r="P110" i="68"/>
  <c r="O111" i="68"/>
  <c r="P111" i="68"/>
  <c r="O112" i="68"/>
  <c r="P112" i="68"/>
  <c r="O113" i="68"/>
  <c r="P113" i="68"/>
  <c r="O114" i="68"/>
  <c r="P114" i="68"/>
  <c r="O115" i="68"/>
  <c r="P115" i="68"/>
  <c r="O116" i="68"/>
  <c r="P116" i="68"/>
  <c r="O117" i="68"/>
  <c r="P117" i="68"/>
  <c r="O118" i="68"/>
  <c r="P118" i="68"/>
  <c r="O119" i="68"/>
  <c r="P119" i="68"/>
  <c r="O120" i="68"/>
  <c r="P120" i="68"/>
  <c r="G121" i="68"/>
  <c r="O121" i="68"/>
  <c r="O122" i="68"/>
  <c r="P122" i="68"/>
  <c r="O123" i="68"/>
  <c r="P123" i="68"/>
  <c r="O124" i="68"/>
  <c r="P124" i="68"/>
  <c r="O125" i="68"/>
  <c r="P125" i="68"/>
  <c r="O126" i="68"/>
  <c r="P126" i="68"/>
  <c r="O127" i="68"/>
  <c r="P127" i="68"/>
  <c r="O128" i="68"/>
  <c r="P128" i="68"/>
  <c r="O129" i="68"/>
  <c r="P129" i="68"/>
  <c r="O130" i="68"/>
  <c r="P130" i="68"/>
  <c r="O131" i="68"/>
  <c r="P131" i="68"/>
  <c r="O132" i="68"/>
  <c r="P132" i="68"/>
  <c r="O133" i="68"/>
  <c r="P133" i="68"/>
  <c r="O134" i="68"/>
  <c r="P134" i="68"/>
  <c r="O135" i="68"/>
  <c r="P135" i="68"/>
  <c r="O136" i="68"/>
  <c r="P136" i="68"/>
  <c r="O137" i="68"/>
  <c r="P137" i="68"/>
  <c r="O138" i="68"/>
  <c r="P138" i="68"/>
  <c r="O139" i="68"/>
  <c r="P139" i="68"/>
  <c r="O140" i="68"/>
  <c r="P140" i="68"/>
  <c r="O141" i="68"/>
  <c r="P141" i="68"/>
  <c r="G142" i="68"/>
  <c r="O142" i="68"/>
  <c r="O143" i="68"/>
  <c r="P143" i="68"/>
  <c r="O144" i="68"/>
  <c r="P144" i="68"/>
  <c r="O145" i="68"/>
  <c r="P145" i="68"/>
  <c r="O146" i="68"/>
  <c r="P146" i="68"/>
  <c r="O147" i="68"/>
  <c r="P147" i="68"/>
  <c r="O148" i="68"/>
  <c r="P148" i="68"/>
  <c r="O149" i="68"/>
  <c r="P149" i="68"/>
  <c r="O150" i="68"/>
  <c r="P150" i="68"/>
  <c r="O151" i="68"/>
  <c r="P151" i="68"/>
  <c r="O152" i="68"/>
  <c r="P152" i="68"/>
  <c r="O153" i="68"/>
  <c r="P153" i="68"/>
  <c r="O154" i="68"/>
  <c r="P154" i="68"/>
  <c r="O155" i="68"/>
  <c r="P155" i="68"/>
  <c r="O156" i="68"/>
  <c r="P156" i="68"/>
  <c r="O157" i="68"/>
  <c r="P157" i="68"/>
  <c r="O158" i="68"/>
  <c r="P158" i="68"/>
  <c r="O159" i="68"/>
  <c r="P159" i="68"/>
  <c r="O160" i="68"/>
  <c r="P160" i="68"/>
  <c r="O161" i="68"/>
  <c r="P161" i="68"/>
  <c r="O162" i="68"/>
  <c r="P162" i="68"/>
  <c r="G163" i="68"/>
  <c r="O163" i="68"/>
  <c r="O164" i="68"/>
  <c r="P164" i="68"/>
  <c r="O165" i="68"/>
  <c r="P165" i="68"/>
  <c r="O166" i="68"/>
  <c r="P166" i="68"/>
  <c r="O167" i="68"/>
  <c r="P167" i="68"/>
  <c r="O168" i="68"/>
  <c r="P168" i="68"/>
  <c r="O169" i="68"/>
  <c r="P169" i="68"/>
  <c r="O170" i="68"/>
  <c r="P170" i="68"/>
  <c r="O171" i="68"/>
  <c r="P171" i="68"/>
  <c r="O172" i="68"/>
  <c r="P172" i="68"/>
  <c r="O173" i="68"/>
  <c r="P173" i="68"/>
  <c r="O174" i="68"/>
  <c r="P174" i="68"/>
  <c r="O175" i="68"/>
  <c r="P175" i="68"/>
  <c r="O176" i="68"/>
  <c r="P176" i="68"/>
  <c r="O177" i="68"/>
  <c r="P177" i="68"/>
  <c r="O178" i="68"/>
  <c r="P178" i="68"/>
  <c r="O179" i="68"/>
  <c r="P179" i="68"/>
  <c r="O180" i="68"/>
  <c r="P180" i="68"/>
  <c r="O181" i="68"/>
  <c r="P181" i="68"/>
  <c r="O182" i="68"/>
  <c r="P182" i="68"/>
  <c r="O183" i="68"/>
  <c r="P183" i="68"/>
  <c r="G184" i="68"/>
  <c r="O184" i="68"/>
  <c r="O185" i="68"/>
  <c r="P185" i="68"/>
  <c r="O186" i="68"/>
  <c r="P186" i="68"/>
  <c r="O187" i="68"/>
  <c r="P187" i="68"/>
  <c r="O188" i="68"/>
  <c r="P188" i="68"/>
  <c r="O189" i="68"/>
  <c r="P189" i="68"/>
  <c r="O190" i="68"/>
  <c r="P190" i="68"/>
  <c r="O191" i="68"/>
  <c r="P191" i="68"/>
  <c r="O192" i="68"/>
  <c r="P192" i="68"/>
  <c r="O193" i="68"/>
  <c r="P193" i="68"/>
  <c r="O194" i="68"/>
  <c r="P194" i="68"/>
  <c r="O195" i="68"/>
  <c r="P195" i="68"/>
  <c r="O196" i="68"/>
  <c r="P196" i="68"/>
  <c r="O197" i="68"/>
  <c r="P197" i="68"/>
  <c r="O198" i="68"/>
  <c r="P198" i="68"/>
  <c r="O199" i="68"/>
  <c r="P199" i="68"/>
  <c r="O200" i="68"/>
  <c r="P200" i="68"/>
  <c r="O201" i="68"/>
  <c r="P201" i="68"/>
  <c r="O202" i="68"/>
  <c r="P202" i="68"/>
  <c r="O203" i="68"/>
  <c r="P203" i="68"/>
  <c r="O204" i="68"/>
  <c r="P204" i="68"/>
  <c r="G205" i="68"/>
  <c r="O205" i="68"/>
  <c r="O206" i="68"/>
  <c r="P206" i="68"/>
  <c r="O207" i="68"/>
  <c r="P207" i="68"/>
  <c r="O208" i="68"/>
  <c r="P208" i="68"/>
  <c r="O209" i="68"/>
  <c r="P209" i="68"/>
  <c r="O210" i="68"/>
  <c r="P210" i="68"/>
  <c r="O211" i="68"/>
  <c r="P211" i="68"/>
  <c r="O212" i="68"/>
  <c r="P212" i="68"/>
  <c r="O213" i="68"/>
  <c r="P213" i="68"/>
  <c r="O214" i="68"/>
  <c r="P214" i="68"/>
  <c r="O215" i="68"/>
  <c r="P215" i="68"/>
  <c r="O216" i="68"/>
  <c r="P216" i="68"/>
  <c r="O217" i="68"/>
  <c r="P217" i="68"/>
  <c r="O218" i="68"/>
  <c r="P218" i="68"/>
  <c r="O219" i="68"/>
  <c r="P219" i="68"/>
  <c r="O220" i="68"/>
  <c r="P220" i="68"/>
  <c r="O221" i="68"/>
  <c r="P221" i="68"/>
  <c r="O222" i="68"/>
  <c r="P222" i="68"/>
  <c r="O223" i="68"/>
  <c r="P223" i="68"/>
  <c r="O224" i="68"/>
  <c r="P224" i="68"/>
  <c r="O225" i="68"/>
  <c r="P225" i="68"/>
  <c r="G226" i="68"/>
  <c r="O226" i="68"/>
  <c r="O227" i="68"/>
  <c r="P227" i="68"/>
  <c r="O228" i="68"/>
  <c r="P228" i="68"/>
  <c r="O229" i="68"/>
  <c r="P229" i="68"/>
  <c r="O230" i="68"/>
  <c r="P230" i="68"/>
  <c r="O231" i="68"/>
  <c r="P231" i="68"/>
  <c r="O232" i="68"/>
  <c r="P232" i="68"/>
  <c r="O233" i="68"/>
  <c r="P233" i="68"/>
  <c r="O234" i="68"/>
  <c r="P234" i="68"/>
  <c r="O235" i="68"/>
  <c r="P235" i="68"/>
  <c r="O236" i="68"/>
  <c r="P236" i="68"/>
  <c r="O237" i="68"/>
  <c r="P237" i="68"/>
  <c r="O238" i="68"/>
  <c r="P238" i="68"/>
  <c r="O239" i="68"/>
  <c r="P239" i="68"/>
  <c r="O240" i="68"/>
  <c r="P240" i="68"/>
  <c r="O241" i="68"/>
  <c r="P241" i="68"/>
  <c r="O242" i="68"/>
  <c r="P242" i="68"/>
  <c r="O243" i="68"/>
  <c r="P243" i="68"/>
  <c r="O244" i="68"/>
  <c r="P244" i="68"/>
  <c r="O245" i="68"/>
  <c r="P245" i="68"/>
  <c r="O246" i="68"/>
  <c r="P246" i="68"/>
  <c r="G247" i="68"/>
  <c r="O247" i="68"/>
  <c r="O248" i="68"/>
  <c r="P248" i="68"/>
  <c r="O249" i="68"/>
  <c r="P249" i="68"/>
  <c r="O250" i="68"/>
  <c r="P250" i="68"/>
  <c r="O251" i="68"/>
  <c r="P251" i="68"/>
  <c r="O252" i="68"/>
  <c r="P252" i="68"/>
  <c r="O253" i="68"/>
  <c r="P253" i="68"/>
  <c r="O254" i="68"/>
  <c r="P254" i="68"/>
  <c r="O255" i="68"/>
  <c r="P255" i="68"/>
  <c r="O256" i="68"/>
  <c r="P256" i="68"/>
  <c r="O257" i="68"/>
  <c r="P257" i="68"/>
  <c r="O258" i="68"/>
  <c r="P258" i="68"/>
  <c r="O259" i="68"/>
  <c r="P259" i="68"/>
  <c r="O260" i="68"/>
  <c r="P260" i="68"/>
  <c r="O261" i="68"/>
  <c r="P261" i="68"/>
  <c r="O262" i="68"/>
  <c r="P262" i="68"/>
  <c r="O263" i="68"/>
  <c r="P263" i="68"/>
  <c r="O264" i="68"/>
  <c r="P264" i="68"/>
  <c r="O265" i="68"/>
  <c r="P265" i="68"/>
  <c r="O266" i="68"/>
  <c r="P266" i="68"/>
  <c r="O267" i="68"/>
  <c r="P267" i="68"/>
  <c r="G268" i="68"/>
  <c r="O268" i="68"/>
  <c r="O269" i="68"/>
  <c r="P269" i="68"/>
  <c r="O270" i="68"/>
  <c r="P270" i="68"/>
  <c r="O271" i="68"/>
  <c r="P271" i="68"/>
  <c r="O272" i="68"/>
  <c r="P272" i="68"/>
  <c r="O273" i="68"/>
  <c r="P273" i="68"/>
  <c r="O274" i="68"/>
  <c r="P274" i="68"/>
  <c r="O275" i="68"/>
  <c r="P275" i="68"/>
  <c r="O276" i="68"/>
  <c r="P276" i="68"/>
  <c r="O277" i="68"/>
  <c r="P277" i="68"/>
  <c r="O278" i="68"/>
  <c r="P278" i="68"/>
  <c r="O279" i="68"/>
  <c r="P279" i="68"/>
  <c r="O280" i="68"/>
  <c r="P280" i="68"/>
  <c r="O281" i="68"/>
  <c r="P281" i="68"/>
  <c r="O282" i="68"/>
  <c r="P282" i="68"/>
  <c r="O283" i="68"/>
  <c r="P283" i="68"/>
  <c r="O284" i="68"/>
  <c r="P284" i="68"/>
  <c r="O285" i="68"/>
  <c r="P285" i="68"/>
  <c r="O286" i="68"/>
  <c r="P286" i="68"/>
  <c r="O287" i="68"/>
  <c r="P287" i="68"/>
  <c r="O288" i="68"/>
  <c r="P288" i="68"/>
  <c r="G289" i="68"/>
  <c r="O289" i="68"/>
  <c r="O6" i="67"/>
  <c r="P6" i="67"/>
  <c r="Q6" i="67"/>
  <c r="O7" i="67"/>
  <c r="P7" i="67"/>
  <c r="Q7" i="67"/>
  <c r="O8" i="67"/>
  <c r="P8" i="67"/>
  <c r="Q8" i="67"/>
  <c r="O9" i="67"/>
  <c r="P9" i="67"/>
  <c r="Q9" i="67"/>
  <c r="O10" i="67"/>
  <c r="P10" i="67"/>
  <c r="Q10" i="67"/>
  <c r="O11" i="67"/>
  <c r="P11" i="67"/>
  <c r="Q11" i="67"/>
  <c r="O12" i="67"/>
  <c r="P12" i="67"/>
  <c r="Q12" i="67"/>
  <c r="O13" i="67"/>
  <c r="P13" i="67"/>
  <c r="Q13" i="67"/>
  <c r="O14" i="67"/>
  <c r="P14" i="67"/>
  <c r="Q14" i="67"/>
  <c r="O15" i="67"/>
  <c r="P15" i="67"/>
  <c r="Q15" i="67"/>
  <c r="O16" i="67"/>
  <c r="P16" i="67"/>
  <c r="Q16" i="67"/>
  <c r="O17" i="67"/>
  <c r="P17" i="67"/>
  <c r="Q17" i="67"/>
  <c r="O18" i="67"/>
  <c r="P18" i="67"/>
  <c r="Q18" i="67"/>
  <c r="O19" i="67"/>
  <c r="P19" i="67"/>
  <c r="Q19" i="67"/>
  <c r="O20" i="67"/>
  <c r="P20" i="67"/>
  <c r="Q20" i="67"/>
  <c r="O21" i="67"/>
  <c r="P21" i="67"/>
  <c r="Q21" i="67"/>
  <c r="O22" i="67"/>
  <c r="P22" i="67"/>
  <c r="Q22" i="67"/>
  <c r="O23" i="67"/>
  <c r="P23" i="67"/>
  <c r="Q23" i="67"/>
  <c r="O24" i="67"/>
  <c r="P24" i="67"/>
  <c r="Q24" i="67"/>
  <c r="O25" i="67"/>
  <c r="P25" i="67"/>
  <c r="Q25" i="67"/>
  <c r="O26" i="67"/>
  <c r="P26" i="67"/>
  <c r="Q26" i="67"/>
  <c r="O27" i="67"/>
  <c r="P27" i="67"/>
  <c r="Q27" i="67"/>
  <c r="O28" i="67"/>
  <c r="P28" i="67"/>
  <c r="Q28" i="67"/>
  <c r="O29" i="67"/>
  <c r="P29" i="67"/>
  <c r="Q29" i="67"/>
  <c r="O30" i="67"/>
  <c r="P30" i="67"/>
  <c r="Q30" i="67"/>
  <c r="F31" i="67"/>
  <c r="G31" i="67"/>
  <c r="O31" i="67"/>
  <c r="O32" i="67"/>
  <c r="P32" i="67"/>
  <c r="O33" i="67"/>
  <c r="P33" i="67"/>
  <c r="O34" i="67"/>
  <c r="P34" i="67"/>
  <c r="O35" i="67"/>
  <c r="P35" i="67"/>
  <c r="O36" i="67"/>
  <c r="P36" i="67"/>
  <c r="O37" i="67"/>
  <c r="P37" i="67"/>
  <c r="O38" i="67"/>
  <c r="P38" i="67"/>
  <c r="O39" i="67"/>
  <c r="P39" i="67"/>
  <c r="O40" i="67"/>
  <c r="P40" i="67"/>
  <c r="O41" i="67"/>
  <c r="P41" i="67"/>
  <c r="O42" i="67"/>
  <c r="P42" i="67"/>
  <c r="O43" i="67"/>
  <c r="P43" i="67"/>
  <c r="O44" i="67"/>
  <c r="P44" i="67"/>
  <c r="O45" i="67"/>
  <c r="P45" i="67"/>
  <c r="O46" i="67"/>
  <c r="P46" i="67"/>
  <c r="O47" i="67"/>
  <c r="P47" i="67"/>
  <c r="O48" i="67"/>
  <c r="P48" i="67"/>
  <c r="O49" i="67"/>
  <c r="P49" i="67"/>
  <c r="O50" i="67"/>
  <c r="P50" i="67"/>
  <c r="O51" i="67"/>
  <c r="P51" i="67"/>
  <c r="O52" i="67"/>
  <c r="P52" i="67"/>
  <c r="O53" i="67"/>
  <c r="P53" i="67"/>
  <c r="O54" i="67"/>
  <c r="P54" i="67"/>
  <c r="O55" i="67"/>
  <c r="P55" i="67"/>
  <c r="O56" i="67"/>
  <c r="P56" i="67"/>
  <c r="G57" i="67"/>
  <c r="O57" i="67"/>
  <c r="O58" i="67"/>
  <c r="P58" i="67"/>
  <c r="O59" i="67"/>
  <c r="P59" i="67"/>
  <c r="O60" i="67"/>
  <c r="P60" i="67"/>
  <c r="O61" i="67"/>
  <c r="P61" i="67"/>
  <c r="O62" i="67"/>
  <c r="P62" i="67"/>
  <c r="O63" i="67"/>
  <c r="P63" i="67"/>
  <c r="O64" i="67"/>
  <c r="P64" i="67"/>
  <c r="O65" i="67"/>
  <c r="P65" i="67"/>
  <c r="O66" i="67"/>
  <c r="P66" i="67"/>
  <c r="O67" i="67"/>
  <c r="P67" i="67"/>
  <c r="O68" i="67"/>
  <c r="P68" i="67"/>
  <c r="O69" i="67"/>
  <c r="P69" i="67"/>
  <c r="O70" i="67"/>
  <c r="P70" i="67"/>
  <c r="O71" i="67"/>
  <c r="P71" i="67"/>
  <c r="O72" i="67"/>
  <c r="P72" i="67"/>
  <c r="O73" i="67"/>
  <c r="P73" i="67"/>
  <c r="O74" i="67"/>
  <c r="P74" i="67"/>
  <c r="O75" i="67"/>
  <c r="P75" i="67"/>
  <c r="O76" i="67"/>
  <c r="P76" i="67"/>
  <c r="O77" i="67"/>
  <c r="P77" i="67"/>
  <c r="G78" i="67"/>
  <c r="O78" i="67"/>
  <c r="O79" i="67"/>
  <c r="P79" i="67"/>
  <c r="O80" i="67"/>
  <c r="P80" i="67"/>
  <c r="O81" i="67"/>
  <c r="P81" i="67"/>
  <c r="O82" i="67"/>
  <c r="P82" i="67"/>
  <c r="O83" i="67"/>
  <c r="P83" i="67"/>
  <c r="O84" i="67"/>
  <c r="P84" i="67"/>
  <c r="O85" i="67"/>
  <c r="P85" i="67"/>
  <c r="O86" i="67"/>
  <c r="P86" i="67"/>
  <c r="O87" i="67"/>
  <c r="P87" i="67"/>
  <c r="O88" i="67"/>
  <c r="P88" i="67"/>
  <c r="O89" i="67"/>
  <c r="P89" i="67"/>
  <c r="O90" i="67"/>
  <c r="P90" i="67"/>
  <c r="O91" i="67"/>
  <c r="P91" i="67"/>
  <c r="O92" i="67"/>
  <c r="P92" i="67"/>
  <c r="O93" i="67"/>
  <c r="P93" i="67"/>
  <c r="O94" i="67"/>
  <c r="P94" i="67"/>
  <c r="O95" i="67"/>
  <c r="P95" i="67"/>
  <c r="O96" i="67"/>
  <c r="P96" i="67"/>
  <c r="O97" i="67"/>
  <c r="P97" i="67"/>
  <c r="O98" i="67"/>
  <c r="P98" i="67"/>
  <c r="G99" i="67"/>
  <c r="O99" i="67"/>
  <c r="O100" i="67"/>
  <c r="P100" i="67"/>
  <c r="O101" i="67"/>
  <c r="P101" i="67"/>
  <c r="O102" i="67"/>
  <c r="P102" i="67"/>
  <c r="O103" i="67"/>
  <c r="P103" i="67"/>
  <c r="O104" i="67"/>
  <c r="P104" i="67"/>
  <c r="O105" i="67"/>
  <c r="P105" i="67"/>
  <c r="O106" i="67"/>
  <c r="P106" i="67"/>
  <c r="O107" i="67"/>
  <c r="P107" i="67"/>
  <c r="O108" i="67"/>
  <c r="P108" i="67"/>
  <c r="O109" i="67"/>
  <c r="P109" i="67"/>
  <c r="O110" i="67"/>
  <c r="P110" i="67"/>
  <c r="O111" i="67"/>
  <c r="P111" i="67"/>
  <c r="O112" i="67"/>
  <c r="P112" i="67"/>
  <c r="O113" i="67"/>
  <c r="P113" i="67"/>
  <c r="O114" i="67"/>
  <c r="P114" i="67"/>
  <c r="O115" i="67"/>
  <c r="P115" i="67"/>
  <c r="O116" i="67"/>
  <c r="P116" i="67"/>
  <c r="O117" i="67"/>
  <c r="P117" i="67"/>
  <c r="O118" i="67"/>
  <c r="P118" i="67"/>
  <c r="O119" i="67"/>
  <c r="P119" i="67"/>
  <c r="G120" i="67"/>
  <c r="O120" i="67"/>
  <c r="O121" i="67"/>
  <c r="P121" i="67"/>
  <c r="O122" i="67"/>
  <c r="P122" i="67"/>
  <c r="O123" i="67"/>
  <c r="P123" i="67"/>
  <c r="O124" i="67"/>
  <c r="P124" i="67"/>
  <c r="O125" i="67"/>
  <c r="P125" i="67"/>
  <c r="O126" i="67"/>
  <c r="P126" i="67"/>
  <c r="O127" i="67"/>
  <c r="P127" i="67"/>
  <c r="O128" i="67"/>
  <c r="P128" i="67"/>
  <c r="O129" i="67"/>
  <c r="P129" i="67"/>
  <c r="O130" i="67"/>
  <c r="P130" i="67"/>
  <c r="O131" i="67"/>
  <c r="P131" i="67"/>
  <c r="O132" i="67"/>
  <c r="P132" i="67"/>
  <c r="O133" i="67"/>
  <c r="P133" i="67"/>
  <c r="O134" i="67"/>
  <c r="P134" i="67"/>
  <c r="O135" i="67"/>
  <c r="P135" i="67"/>
  <c r="O136" i="67"/>
  <c r="P136" i="67"/>
  <c r="O137" i="67"/>
  <c r="P137" i="67"/>
  <c r="O138" i="67"/>
  <c r="P138" i="67"/>
  <c r="O139" i="67"/>
  <c r="P139" i="67"/>
  <c r="O140" i="67"/>
  <c r="P140" i="67"/>
  <c r="G141" i="67"/>
  <c r="O141" i="67"/>
  <c r="O142" i="67"/>
  <c r="P142" i="67"/>
  <c r="O143" i="67"/>
  <c r="P143" i="67"/>
  <c r="O144" i="67"/>
  <c r="P144" i="67"/>
  <c r="O145" i="67"/>
  <c r="P145" i="67"/>
  <c r="O146" i="67"/>
  <c r="P146" i="67"/>
  <c r="O147" i="67"/>
  <c r="P147" i="67"/>
  <c r="O148" i="67"/>
  <c r="P148" i="67"/>
  <c r="O149" i="67"/>
  <c r="P149" i="67"/>
  <c r="O150" i="67"/>
  <c r="P150" i="67"/>
  <c r="O151" i="67"/>
  <c r="P151" i="67"/>
  <c r="O152" i="67"/>
  <c r="P152" i="67"/>
  <c r="O153" i="67"/>
  <c r="P153" i="67"/>
  <c r="O154" i="67"/>
  <c r="P154" i="67"/>
  <c r="O155" i="67"/>
  <c r="P155" i="67"/>
  <c r="O156" i="67"/>
  <c r="P156" i="67"/>
  <c r="O157" i="67"/>
  <c r="P157" i="67"/>
  <c r="O158" i="67"/>
  <c r="P158" i="67"/>
  <c r="O159" i="67"/>
  <c r="P159" i="67"/>
  <c r="O160" i="67"/>
  <c r="P160" i="67"/>
  <c r="O161" i="67"/>
  <c r="P161" i="67"/>
  <c r="G162" i="67"/>
  <c r="O162" i="67"/>
  <c r="O163" i="67"/>
  <c r="P163" i="67"/>
  <c r="O164" i="67"/>
  <c r="P164" i="67"/>
  <c r="O165" i="67"/>
  <c r="P165" i="67"/>
  <c r="O166" i="67"/>
  <c r="P166" i="67"/>
  <c r="O167" i="67"/>
  <c r="P167" i="67"/>
  <c r="O168" i="67"/>
  <c r="P168" i="67"/>
  <c r="O169" i="67"/>
  <c r="P169" i="67"/>
  <c r="O170" i="67"/>
  <c r="P170" i="67"/>
  <c r="O171" i="67"/>
  <c r="P171" i="67"/>
  <c r="O172" i="67"/>
  <c r="P172" i="67"/>
  <c r="O173" i="67"/>
  <c r="P173" i="67"/>
  <c r="O174" i="67"/>
  <c r="P174" i="67"/>
  <c r="O175" i="67"/>
  <c r="P175" i="67"/>
  <c r="O176" i="67"/>
  <c r="P176" i="67"/>
  <c r="O177" i="67"/>
  <c r="P177" i="67"/>
  <c r="O178" i="67"/>
  <c r="P178" i="67"/>
  <c r="O179" i="67"/>
  <c r="P179" i="67"/>
  <c r="O180" i="67"/>
  <c r="P180" i="67"/>
  <c r="O181" i="67"/>
  <c r="P181" i="67"/>
  <c r="O182" i="67"/>
  <c r="P182" i="67"/>
  <c r="G183" i="67"/>
  <c r="O183" i="67"/>
  <c r="O184" i="67"/>
  <c r="P184" i="67"/>
  <c r="O185" i="67"/>
  <c r="P185" i="67"/>
  <c r="O186" i="67"/>
  <c r="P186" i="67"/>
  <c r="O187" i="67"/>
  <c r="P187" i="67"/>
  <c r="O188" i="67"/>
  <c r="P188" i="67"/>
  <c r="O189" i="67"/>
  <c r="P189" i="67"/>
  <c r="O190" i="67"/>
  <c r="P190" i="67"/>
  <c r="O191" i="67"/>
  <c r="P191" i="67"/>
  <c r="O192" i="67"/>
  <c r="P192" i="67"/>
  <c r="O193" i="67"/>
  <c r="P193" i="67"/>
  <c r="O194" i="67"/>
  <c r="P194" i="67"/>
  <c r="O195" i="67"/>
  <c r="P195" i="67"/>
  <c r="O196" i="67"/>
  <c r="P196" i="67"/>
  <c r="O197" i="67"/>
  <c r="P197" i="67"/>
  <c r="O198" i="67"/>
  <c r="P198" i="67"/>
  <c r="O199" i="67"/>
  <c r="P199" i="67"/>
  <c r="O200" i="67"/>
  <c r="P200" i="67"/>
  <c r="O201" i="67"/>
  <c r="P201" i="67"/>
  <c r="O202" i="67"/>
  <c r="P202" i="67"/>
  <c r="O203" i="67"/>
  <c r="P203" i="67"/>
  <c r="G204" i="67"/>
  <c r="O204" i="67"/>
  <c r="O205" i="67"/>
  <c r="P205" i="67"/>
  <c r="O206" i="67"/>
  <c r="P206" i="67"/>
  <c r="O207" i="67"/>
  <c r="P207" i="67"/>
  <c r="O208" i="67"/>
  <c r="P208" i="67"/>
  <c r="O209" i="67"/>
  <c r="P209" i="67"/>
  <c r="O210" i="67"/>
  <c r="P210" i="67"/>
  <c r="O211" i="67"/>
  <c r="P211" i="67"/>
  <c r="O212" i="67"/>
  <c r="P212" i="67"/>
  <c r="O213" i="67"/>
  <c r="P213" i="67"/>
  <c r="O214" i="67"/>
  <c r="P214" i="67"/>
  <c r="O215" i="67"/>
  <c r="P215" i="67"/>
  <c r="O216" i="67"/>
  <c r="P216" i="67"/>
  <c r="O217" i="67"/>
  <c r="P217" i="67"/>
  <c r="O218" i="67"/>
  <c r="P218" i="67"/>
  <c r="O219" i="67"/>
  <c r="P219" i="67"/>
  <c r="O220" i="67"/>
  <c r="P220" i="67"/>
  <c r="O221" i="67"/>
  <c r="P221" i="67"/>
  <c r="O222" i="67"/>
  <c r="P222" i="67"/>
  <c r="O223" i="67"/>
  <c r="P223" i="67"/>
  <c r="O224" i="67"/>
  <c r="P224" i="67"/>
  <c r="G225" i="67"/>
  <c r="O225" i="67"/>
  <c r="O226" i="67"/>
  <c r="P226" i="67"/>
  <c r="O227" i="67"/>
  <c r="P227" i="67"/>
  <c r="O228" i="67"/>
  <c r="P228" i="67"/>
  <c r="O229" i="67"/>
  <c r="P229" i="67"/>
  <c r="O230" i="67"/>
  <c r="P230" i="67"/>
  <c r="O231" i="67"/>
  <c r="P231" i="67"/>
  <c r="O232" i="67"/>
  <c r="P232" i="67"/>
  <c r="O233" i="67"/>
  <c r="P233" i="67"/>
  <c r="O234" i="67"/>
  <c r="P234" i="67"/>
  <c r="O235" i="67"/>
  <c r="P235" i="67"/>
  <c r="O236" i="67"/>
  <c r="P236" i="67"/>
  <c r="O237" i="67"/>
  <c r="P237" i="67"/>
  <c r="O238" i="67"/>
  <c r="P238" i="67"/>
  <c r="O239" i="67"/>
  <c r="P239" i="67"/>
  <c r="O240" i="67"/>
  <c r="P240" i="67"/>
  <c r="O241" i="67"/>
  <c r="P241" i="67"/>
  <c r="O242" i="67"/>
  <c r="P242" i="67"/>
  <c r="O243" i="67"/>
  <c r="P243" i="67"/>
  <c r="O244" i="67"/>
  <c r="P244" i="67"/>
  <c r="O245" i="67"/>
  <c r="P245" i="67"/>
  <c r="G246" i="67"/>
  <c r="O246" i="67"/>
  <c r="O247" i="67"/>
  <c r="P247" i="67"/>
  <c r="O248" i="67"/>
  <c r="P248" i="67"/>
  <c r="O249" i="67"/>
  <c r="P249" i="67"/>
  <c r="O250" i="67"/>
  <c r="P250" i="67"/>
  <c r="O251" i="67"/>
  <c r="P251" i="67"/>
  <c r="O252" i="67"/>
  <c r="P252" i="67"/>
  <c r="O253" i="67"/>
  <c r="P253" i="67"/>
  <c r="O254" i="67"/>
  <c r="P254" i="67"/>
  <c r="O255" i="67"/>
  <c r="P255" i="67"/>
  <c r="O256" i="67"/>
  <c r="P256" i="67"/>
  <c r="O257" i="67"/>
  <c r="P257" i="67"/>
  <c r="O258" i="67"/>
  <c r="P258" i="67"/>
  <c r="O259" i="67"/>
  <c r="P259" i="67"/>
  <c r="O260" i="67"/>
  <c r="P260" i="67"/>
  <c r="O261" i="67"/>
  <c r="P261" i="67"/>
  <c r="O262" i="67"/>
  <c r="P262" i="67"/>
  <c r="O263" i="67"/>
  <c r="P263" i="67"/>
  <c r="O264" i="67"/>
  <c r="P264" i="67"/>
  <c r="O265" i="67"/>
  <c r="P265" i="67"/>
  <c r="O266" i="67"/>
  <c r="P266" i="67"/>
  <c r="G267" i="67"/>
  <c r="O267" i="67"/>
  <c r="N89" i="64" l="1"/>
  <c r="Q83" i="64"/>
  <c r="J43" i="64"/>
  <c r="J37" i="64" s="1"/>
  <c r="S90" i="64"/>
  <c r="S84" i="64"/>
  <c r="M91" i="64"/>
  <c r="E67" i="64"/>
  <c r="J85" i="64"/>
  <c r="H73" i="64"/>
  <c r="T73" i="64" s="1"/>
  <c r="N92" i="64"/>
  <c r="S86" i="64"/>
  <c r="N61" i="64"/>
  <c r="J89" i="64"/>
  <c r="K87" i="64"/>
  <c r="W87" i="64" s="1"/>
  <c r="H81" i="64"/>
  <c r="K70" i="64"/>
  <c r="Q9" i="64"/>
  <c r="H26" i="64"/>
  <c r="K30" i="64"/>
  <c r="S12" i="64"/>
  <c r="N19" i="64"/>
  <c r="M28" i="64"/>
  <c r="J38" i="64"/>
  <c r="S43" i="64"/>
  <c r="J47" i="64"/>
  <c r="S55" i="64"/>
  <c r="Y55" i="64" s="1"/>
  <c r="J59" i="64"/>
  <c r="N41" i="64"/>
  <c r="K50" i="64"/>
  <c r="K54" i="64"/>
  <c r="S59" i="64"/>
  <c r="Y59" i="64" s="1"/>
  <c r="N45" i="64"/>
  <c r="N57" i="64"/>
  <c r="K73" i="64"/>
  <c r="W73" i="64" s="1"/>
  <c r="N74" i="64"/>
  <c r="Q75" i="64"/>
  <c r="K85" i="64"/>
  <c r="Q87" i="64"/>
  <c r="J88" i="64"/>
  <c r="P89" i="64"/>
  <c r="V89" i="64" s="1"/>
  <c r="H90" i="64"/>
  <c r="N91" i="64"/>
  <c r="P92" i="64"/>
  <c r="M85" i="64"/>
  <c r="K86" i="64"/>
  <c r="Q88" i="64"/>
  <c r="W88" i="64" s="1"/>
  <c r="H89" i="64"/>
  <c r="Q89" i="64"/>
  <c r="K90" i="64"/>
  <c r="Q91" i="64"/>
  <c r="H92" i="64"/>
  <c r="Q92" i="64"/>
  <c r="W92" i="64" s="1"/>
  <c r="N90" i="64"/>
  <c r="T90" i="64" s="1"/>
  <c r="S91" i="64"/>
  <c r="J92" i="64"/>
  <c r="S92" i="64"/>
  <c r="M89" i="64"/>
  <c r="Q90" i="64"/>
  <c r="K91" i="64"/>
  <c r="M92" i="64"/>
  <c r="Y92" i="64" s="1"/>
  <c r="Q86" i="64"/>
  <c r="H85" i="64"/>
  <c r="Q84" i="64"/>
  <c r="K83" i="64"/>
  <c r="P82" i="64"/>
  <c r="Q79" i="64"/>
  <c r="N78" i="64"/>
  <c r="K77" i="64"/>
  <c r="N15" i="64"/>
  <c r="H38" i="64"/>
  <c r="K92" i="64"/>
  <c r="P90" i="64"/>
  <c r="K89" i="64"/>
  <c r="P86" i="64"/>
  <c r="N82" i="64"/>
  <c r="K81" i="64"/>
  <c r="K78" i="64"/>
  <c r="H77" i="64"/>
  <c r="Q70" i="64"/>
  <c r="S88" i="64"/>
  <c r="N86" i="64"/>
  <c r="T86" i="64" s="1"/>
  <c r="N85" i="64"/>
  <c r="K82" i="64"/>
  <c r="J81" i="64"/>
  <c r="Q71" i="64"/>
  <c r="N70" i="64"/>
  <c r="K69" i="64"/>
  <c r="K67" i="64" s="1"/>
  <c r="Q74" i="64"/>
  <c r="K88" i="64"/>
  <c r="H84" i="64"/>
  <c r="H91" i="64"/>
  <c r="S82" i="64"/>
  <c r="J69" i="64"/>
  <c r="J67" i="64" s="1"/>
  <c r="N69" i="64"/>
  <c r="P76" i="64"/>
  <c r="H68" i="64"/>
  <c r="J68" i="64"/>
  <c r="H69" i="64"/>
  <c r="AD67" i="64" s="1"/>
  <c r="J61" i="64"/>
  <c r="N59" i="64"/>
  <c r="S57" i="64"/>
  <c r="K52" i="64"/>
  <c r="P50" i="64"/>
  <c r="J45" i="64"/>
  <c r="V45" i="64" s="1"/>
  <c r="N43" i="64"/>
  <c r="S41" i="64"/>
  <c r="P30" i="64"/>
  <c r="S28" i="64"/>
  <c r="N26" i="64"/>
  <c r="P24" i="64"/>
  <c r="Q17" i="64"/>
  <c r="W17" i="64" s="1"/>
  <c r="H15" i="64"/>
  <c r="M90" i="64"/>
  <c r="S87" i="64"/>
  <c r="M86" i="64"/>
  <c r="S83" i="64"/>
  <c r="Y83" i="64" s="1"/>
  <c r="M82" i="64"/>
  <c r="S79" i="64"/>
  <c r="M78" i="64"/>
  <c r="S75" i="64"/>
  <c r="M74" i="64"/>
  <c r="S71" i="64"/>
  <c r="Y71" i="64" s="1"/>
  <c r="M70" i="64"/>
  <c r="K59" i="64"/>
  <c r="P57" i="64"/>
  <c r="J52" i="64"/>
  <c r="N50" i="64"/>
  <c r="S48" i="64"/>
  <c r="Y48" i="64" s="1"/>
  <c r="K43" i="64"/>
  <c r="P41" i="64"/>
  <c r="M30" i="64"/>
  <c r="Q28" i="64"/>
  <c r="J26" i="64"/>
  <c r="J24" i="64"/>
  <c r="V24" i="64" s="1"/>
  <c r="M17" i="64"/>
  <c r="M25" i="64"/>
  <c r="J8" i="64"/>
  <c r="M60" i="64"/>
  <c r="M59" i="64"/>
  <c r="M53" i="64"/>
  <c r="Y53" i="64" s="1"/>
  <c r="P91" i="64"/>
  <c r="J90" i="64"/>
  <c r="P87" i="64"/>
  <c r="J86" i="64"/>
  <c r="P83" i="64"/>
  <c r="J82" i="64"/>
  <c r="V82" i="64" s="1"/>
  <c r="P79" i="64"/>
  <c r="J78" i="64"/>
  <c r="P75" i="64"/>
  <c r="J74" i="64"/>
  <c r="P71" i="64"/>
  <c r="J70" i="64"/>
  <c r="S62" i="64"/>
  <c r="K57" i="64"/>
  <c r="P55" i="64"/>
  <c r="J50" i="64"/>
  <c r="N48" i="64"/>
  <c r="S46" i="64"/>
  <c r="Y46" i="64" s="1"/>
  <c r="K41" i="64"/>
  <c r="P39" i="64"/>
  <c r="H30" i="64"/>
  <c r="K28" i="64"/>
  <c r="J19" i="64"/>
  <c r="M12" i="64"/>
  <c r="Y12" i="64" s="1"/>
  <c r="H9" i="64"/>
  <c r="N87" i="64"/>
  <c r="H86" i="64"/>
  <c r="N83" i="64"/>
  <c r="H82" i="64"/>
  <c r="T82" i="64" s="1"/>
  <c r="N79" i="64"/>
  <c r="H78" i="64"/>
  <c r="N75" i="64"/>
  <c r="H74" i="64"/>
  <c r="N71" i="64"/>
  <c r="H70" i="64"/>
  <c r="T70" i="64" s="1"/>
  <c r="P62" i="64"/>
  <c r="J57" i="64"/>
  <c r="N55" i="64"/>
  <c r="S53" i="64"/>
  <c r="K48" i="64"/>
  <c r="P46" i="64"/>
  <c r="V46" i="64" s="1"/>
  <c r="J41" i="64"/>
  <c r="N39" i="64"/>
  <c r="Q21" i="64"/>
  <c r="H19" i="64"/>
  <c r="M83" i="64"/>
  <c r="S80" i="64"/>
  <c r="M79" i="64"/>
  <c r="S76" i="64"/>
  <c r="M75" i="64"/>
  <c r="S72" i="64"/>
  <c r="M71" i="64"/>
  <c r="S68" i="64"/>
  <c r="Y68" i="64" s="1"/>
  <c r="N62" i="64"/>
  <c r="S60" i="64"/>
  <c r="K55" i="64"/>
  <c r="P53" i="64"/>
  <c r="J48" i="64"/>
  <c r="N46" i="64"/>
  <c r="T46" i="64" s="1"/>
  <c r="S44" i="64"/>
  <c r="K39" i="64"/>
  <c r="P21" i="64"/>
  <c r="P14" i="64"/>
  <c r="M10" i="64"/>
  <c r="J11" i="64"/>
  <c r="H62" i="64"/>
  <c r="T62" i="64" s="1"/>
  <c r="M57" i="64"/>
  <c r="H56" i="64"/>
  <c r="Q80" i="64"/>
  <c r="K79" i="64"/>
  <c r="W79" i="64" s="1"/>
  <c r="Q76" i="64"/>
  <c r="K75" i="64"/>
  <c r="Q72" i="64"/>
  <c r="K71" i="64"/>
  <c r="Q68" i="64"/>
  <c r="K62" i="64"/>
  <c r="W62" i="64" s="1"/>
  <c r="P60" i="64"/>
  <c r="J55" i="64"/>
  <c r="N53" i="64"/>
  <c r="S51" i="64"/>
  <c r="K46" i="64"/>
  <c r="P44" i="64"/>
  <c r="V44" i="64" s="1"/>
  <c r="J39" i="64"/>
  <c r="Q31" i="64"/>
  <c r="S23" i="64"/>
  <c r="J21" i="64"/>
  <c r="K14" i="64"/>
  <c r="J91" i="64"/>
  <c r="P88" i="64"/>
  <c r="J87" i="64"/>
  <c r="P84" i="64"/>
  <c r="J83" i="64"/>
  <c r="P80" i="64"/>
  <c r="J79" i="64"/>
  <c r="J75" i="64"/>
  <c r="P72" i="64"/>
  <c r="J71" i="64"/>
  <c r="P68" i="64"/>
  <c r="V68" i="64" s="1"/>
  <c r="J62" i="64"/>
  <c r="V62" i="64" s="1"/>
  <c r="N60" i="64"/>
  <c r="S58" i="64"/>
  <c r="K53" i="64"/>
  <c r="P51" i="64"/>
  <c r="J46" i="64"/>
  <c r="N44" i="64"/>
  <c r="S42" i="64"/>
  <c r="P31" i="64"/>
  <c r="S25" i="64"/>
  <c r="N23" i="64"/>
  <c r="S16" i="64"/>
  <c r="J14" i="64"/>
  <c r="V14" i="64" s="1"/>
  <c r="N88" i="64"/>
  <c r="T88" i="64" s="1"/>
  <c r="H87" i="64"/>
  <c r="N84" i="64"/>
  <c r="H83" i="64"/>
  <c r="N80" i="64"/>
  <c r="H79" i="64"/>
  <c r="T79" i="64" s="1"/>
  <c r="N76" i="64"/>
  <c r="H75" i="64"/>
  <c r="N72" i="64"/>
  <c r="H71" i="64"/>
  <c r="N68" i="64"/>
  <c r="K60" i="64"/>
  <c r="P58" i="64"/>
  <c r="J53" i="64"/>
  <c r="N51" i="64"/>
  <c r="S49" i="64"/>
  <c r="K44" i="64"/>
  <c r="P42" i="64"/>
  <c r="V42" i="64" s="1"/>
  <c r="M31" i="64"/>
  <c r="Q29" i="64"/>
  <c r="S27" i="64"/>
  <c r="Q25" i="64"/>
  <c r="K23" i="64"/>
  <c r="M16" i="64"/>
  <c r="Y16" i="64" s="1"/>
  <c r="N11" i="64"/>
  <c r="P8" i="64"/>
  <c r="S89" i="64"/>
  <c r="M88" i="64"/>
  <c r="S85" i="64"/>
  <c r="M84" i="64"/>
  <c r="Y84" i="64" s="1"/>
  <c r="S81" i="64"/>
  <c r="M80" i="64"/>
  <c r="S77" i="64"/>
  <c r="M76" i="64"/>
  <c r="S73" i="64"/>
  <c r="M72" i="64"/>
  <c r="S69" i="64"/>
  <c r="M68" i="64"/>
  <c r="J60" i="64"/>
  <c r="N58" i="64"/>
  <c r="S56" i="64"/>
  <c r="K51" i="64"/>
  <c r="P49" i="64"/>
  <c r="J44" i="64"/>
  <c r="N42" i="64"/>
  <c r="S40" i="64"/>
  <c r="K31" i="64"/>
  <c r="P29" i="64"/>
  <c r="V29" i="64" s="1"/>
  <c r="N27" i="64"/>
  <c r="K25" i="64"/>
  <c r="Q18" i="64"/>
  <c r="H16" i="64"/>
  <c r="S13" i="64"/>
  <c r="P12" i="64"/>
  <c r="M8" i="64"/>
  <c r="M61" i="64"/>
  <c r="M58" i="64"/>
  <c r="M55" i="64"/>
  <c r="Q85" i="64"/>
  <c r="K84" i="64"/>
  <c r="W84" i="64" s="1"/>
  <c r="Q81" i="64"/>
  <c r="K80" i="64"/>
  <c r="Q77" i="64"/>
  <c r="K76" i="64"/>
  <c r="Q73" i="64"/>
  <c r="K72" i="64"/>
  <c r="W72" i="64" s="1"/>
  <c r="Q69" i="64"/>
  <c r="K68" i="64"/>
  <c r="K58" i="64"/>
  <c r="P56" i="64"/>
  <c r="J51" i="64"/>
  <c r="N49" i="64"/>
  <c r="T49" i="64" s="1"/>
  <c r="S47" i="64"/>
  <c r="K42" i="64"/>
  <c r="P40" i="64"/>
  <c r="H31" i="64"/>
  <c r="K29" i="64"/>
  <c r="M27" i="64"/>
  <c r="Y27" i="64" s="1"/>
  <c r="H25" i="64"/>
  <c r="P18" i="64"/>
  <c r="P85" i="64"/>
  <c r="V85" i="64" s="1"/>
  <c r="J84" i="64"/>
  <c r="P81" i="64"/>
  <c r="J80" i="64"/>
  <c r="V80" i="64" s="1"/>
  <c r="P77" i="64"/>
  <c r="J76" i="64"/>
  <c r="P73" i="64"/>
  <c r="J72" i="64"/>
  <c r="P69" i="64"/>
  <c r="J58" i="64"/>
  <c r="V58" i="64" s="1"/>
  <c r="N56" i="64"/>
  <c r="T56" i="64" s="1"/>
  <c r="S54" i="64"/>
  <c r="K49" i="64"/>
  <c r="P47" i="64"/>
  <c r="J42" i="64"/>
  <c r="N40" i="64"/>
  <c r="T40" i="64" s="1"/>
  <c r="S38" i="64"/>
  <c r="J29" i="64"/>
  <c r="H27" i="64"/>
  <c r="S20" i="64"/>
  <c r="J18" i="64"/>
  <c r="J89" i="57"/>
  <c r="N81" i="64"/>
  <c r="H80" i="64"/>
  <c r="N77" i="64"/>
  <c r="H76" i="64"/>
  <c r="N73" i="64"/>
  <c r="H72" i="64"/>
  <c r="T72" i="64" s="1"/>
  <c r="S61" i="64"/>
  <c r="K56" i="64"/>
  <c r="P54" i="64"/>
  <c r="J49" i="64"/>
  <c r="N47" i="64"/>
  <c r="S45" i="64"/>
  <c r="K40" i="64"/>
  <c r="N38" i="64"/>
  <c r="N20" i="64"/>
  <c r="Q13" i="64"/>
  <c r="G67" i="64"/>
  <c r="M81" i="64"/>
  <c r="Y81" i="64" s="1"/>
  <c r="S78" i="64"/>
  <c r="M77" i="64"/>
  <c r="S74" i="64"/>
  <c r="M73" i="64"/>
  <c r="S70" i="64"/>
  <c r="M69" i="64"/>
  <c r="Y69" i="64" s="1"/>
  <c r="P61" i="64"/>
  <c r="J56" i="64"/>
  <c r="N54" i="64"/>
  <c r="S52" i="64"/>
  <c r="K47" i="64"/>
  <c r="P45" i="64"/>
  <c r="J40" i="64"/>
  <c r="M38" i="64"/>
  <c r="M22" i="64"/>
  <c r="M20" i="64"/>
  <c r="K13" i="64"/>
  <c r="P10" i="64"/>
  <c r="J7" i="64"/>
  <c r="P26" i="64"/>
  <c r="K24" i="64"/>
  <c r="H20" i="64"/>
  <c r="M62" i="64"/>
  <c r="K38" i="64"/>
  <c r="W38" i="64" s="1"/>
  <c r="J215" i="57"/>
  <c r="J22" i="64"/>
  <c r="Q15" i="64"/>
  <c r="P78" i="64"/>
  <c r="J77" i="64"/>
  <c r="P74" i="64"/>
  <c r="V74" i="64" s="1"/>
  <c r="J73" i="64"/>
  <c r="P70" i="64"/>
  <c r="K61" i="64"/>
  <c r="P59" i="64"/>
  <c r="J54" i="64"/>
  <c r="N52" i="64"/>
  <c r="S50" i="64"/>
  <c r="K45" i="64"/>
  <c r="P43" i="64"/>
  <c r="Q30" i="64"/>
  <c r="Q24" i="64"/>
  <c r="W24" i="64" s="1"/>
  <c r="H22" i="64"/>
  <c r="P22" i="64"/>
  <c r="K21" i="64"/>
  <c r="N16" i="64"/>
  <c r="T16" i="64" s="1"/>
  <c r="K15" i="64"/>
  <c r="Q11" i="64"/>
  <c r="Q8" i="64"/>
  <c r="J173" i="57"/>
  <c r="T89" i="64"/>
  <c r="T85" i="64"/>
  <c r="T83" i="64"/>
  <c r="Q62" i="64"/>
  <c r="Q61" i="64"/>
  <c r="Q60" i="64"/>
  <c r="Q59" i="64"/>
  <c r="Q58" i="64"/>
  <c r="Q57" i="64"/>
  <c r="W57" i="64" s="1"/>
  <c r="Q56" i="64"/>
  <c r="W56" i="64" s="1"/>
  <c r="Q55" i="64"/>
  <c r="Q54" i="64"/>
  <c r="Q53" i="64"/>
  <c r="Q52" i="64"/>
  <c r="Q51" i="64"/>
  <c r="Q50" i="64"/>
  <c r="Q49" i="64"/>
  <c r="Q48" i="64"/>
  <c r="Q47" i="64"/>
  <c r="Q46" i="64"/>
  <c r="Q45" i="64"/>
  <c r="W45" i="64" s="1"/>
  <c r="Q44" i="64"/>
  <c r="Q43" i="64"/>
  <c r="Q42" i="64"/>
  <c r="Q41" i="64"/>
  <c r="Q40" i="64"/>
  <c r="W40" i="64" s="1"/>
  <c r="Q39" i="64"/>
  <c r="W39" i="64" s="1"/>
  <c r="P38" i="64"/>
  <c r="S31" i="64"/>
  <c r="S30" i="64"/>
  <c r="S29" i="64"/>
  <c r="N28" i="64"/>
  <c r="K27" i="64"/>
  <c r="W27" i="64" s="1"/>
  <c r="Q22" i="64"/>
  <c r="M21" i="64"/>
  <c r="K20" i="64"/>
  <c r="Q16" i="64"/>
  <c r="M15" i="64"/>
  <c r="S11" i="64"/>
  <c r="H10" i="64"/>
  <c r="J257" i="57"/>
  <c r="J110" i="57"/>
  <c r="J68" i="57"/>
  <c r="J152" i="57"/>
  <c r="Q27" i="64"/>
  <c r="K26" i="64"/>
  <c r="J25" i="64"/>
  <c r="H24" i="64"/>
  <c r="P20" i="64"/>
  <c r="M19" i="64"/>
  <c r="H18" i="64"/>
  <c r="T18" i="64" s="1"/>
  <c r="S15" i="64"/>
  <c r="N14" i="64"/>
  <c r="H13" i="64"/>
  <c r="Q10" i="64"/>
  <c r="Q7" i="64"/>
  <c r="J47" i="57"/>
  <c r="H23" i="64"/>
  <c r="P19" i="64"/>
  <c r="M18" i="64"/>
  <c r="Q14" i="64"/>
  <c r="M13" i="64"/>
  <c r="H12" i="64"/>
  <c r="M9" i="64"/>
  <c r="R31" i="62"/>
  <c r="U31" i="62" s="1"/>
  <c r="Q38" i="64"/>
  <c r="J131" i="57"/>
  <c r="H61" i="64"/>
  <c r="H60" i="64"/>
  <c r="T60" i="64" s="1"/>
  <c r="H59" i="64"/>
  <c r="H58" i="64"/>
  <c r="T58" i="64" s="1"/>
  <c r="H57" i="64"/>
  <c r="H55" i="64"/>
  <c r="T55" i="64" s="1"/>
  <c r="H54" i="64"/>
  <c r="H53" i="64"/>
  <c r="T53" i="64" s="1"/>
  <c r="H52" i="64"/>
  <c r="H51" i="64"/>
  <c r="H50" i="64"/>
  <c r="H49" i="64"/>
  <c r="H48" i="64"/>
  <c r="H47" i="64"/>
  <c r="H46" i="64"/>
  <c r="H45" i="64"/>
  <c r="H44" i="64"/>
  <c r="H43" i="64"/>
  <c r="H42" i="64"/>
  <c r="H41" i="64"/>
  <c r="H40" i="64"/>
  <c r="H39" i="64"/>
  <c r="T39" i="64" s="1"/>
  <c r="J31" i="64"/>
  <c r="V31" i="64" s="1"/>
  <c r="J30" i="64"/>
  <c r="Q26" i="64"/>
  <c r="P25" i="64"/>
  <c r="M24" i="64"/>
  <c r="J23" i="64"/>
  <c r="Q19" i="64"/>
  <c r="N18" i="64"/>
  <c r="J17" i="64"/>
  <c r="P13" i="64"/>
  <c r="K12" i="64"/>
  <c r="P9" i="64"/>
  <c r="J236" i="57"/>
  <c r="J26" i="57"/>
  <c r="M23" i="64"/>
  <c r="S17" i="64"/>
  <c r="Y17" i="64" s="1"/>
  <c r="J9" i="64"/>
  <c r="J194" i="57"/>
  <c r="M56" i="64"/>
  <c r="M54" i="64"/>
  <c r="M52" i="64"/>
  <c r="M51" i="64"/>
  <c r="M50" i="64"/>
  <c r="M49" i="64"/>
  <c r="Y49" i="64" s="1"/>
  <c r="M48" i="64"/>
  <c r="M47" i="64"/>
  <c r="Y47" i="64" s="1"/>
  <c r="M46" i="64"/>
  <c r="M45" i="64"/>
  <c r="M44" i="64"/>
  <c r="M43" i="64"/>
  <c r="Y43" i="64" s="1"/>
  <c r="M42" i="64"/>
  <c r="M41" i="64"/>
  <c r="M40" i="64"/>
  <c r="Y40" i="64" s="1"/>
  <c r="M39" i="64"/>
  <c r="N31" i="64"/>
  <c r="T31" i="64" s="1"/>
  <c r="N30" i="64"/>
  <c r="M29" i="64"/>
  <c r="H28" i="64"/>
  <c r="S24" i="64"/>
  <c r="Y24" i="64" s="1"/>
  <c r="P23" i="64"/>
  <c r="K22" i="64"/>
  <c r="H21" i="64"/>
  <c r="P17" i="64"/>
  <c r="K16" i="64"/>
  <c r="W16" i="64" s="1"/>
  <c r="Q12" i="64"/>
  <c r="M11" i="64"/>
  <c r="S26" i="64"/>
  <c r="K8" i="64"/>
  <c r="W8" i="64" s="1"/>
  <c r="S18" i="64"/>
  <c r="P7" i="64"/>
  <c r="W26" i="64"/>
  <c r="Y89" i="64"/>
  <c r="Y87" i="64"/>
  <c r="Y20" i="64"/>
  <c r="B6" i="64"/>
  <c r="B37" i="64"/>
  <c r="W29" i="64"/>
  <c r="T23" i="64"/>
  <c r="T91" i="64"/>
  <c r="V56" i="64"/>
  <c r="V49" i="64"/>
  <c r="T19" i="64"/>
  <c r="W55" i="64"/>
  <c r="W48" i="64"/>
  <c r="V26" i="64"/>
  <c r="T74" i="64"/>
  <c r="V91" i="64"/>
  <c r="V81" i="64"/>
  <c r="Y13" i="64"/>
  <c r="W80" i="64"/>
  <c r="W77" i="64"/>
  <c r="W91" i="64"/>
  <c r="Y86" i="64"/>
  <c r="Y85" i="64"/>
  <c r="Y80" i="64"/>
  <c r="T78" i="64"/>
  <c r="V76" i="64"/>
  <c r="V71" i="64"/>
  <c r="Y62" i="64"/>
  <c r="Y61" i="64"/>
  <c r="Y57" i="64"/>
  <c r="T48" i="64"/>
  <c r="V43" i="64"/>
  <c r="T87" i="64"/>
  <c r="T81" i="64"/>
  <c r="V78" i="64"/>
  <c r="W76" i="64"/>
  <c r="W75" i="64"/>
  <c r="W69" i="64"/>
  <c r="W68" i="64"/>
  <c r="T59" i="64"/>
  <c r="T57" i="64"/>
  <c r="V55" i="64"/>
  <c r="V54" i="64"/>
  <c r="V52" i="64"/>
  <c r="V47" i="64"/>
  <c r="W43" i="64"/>
  <c r="Y39" i="64"/>
  <c r="W25" i="64"/>
  <c r="T15" i="64"/>
  <c r="W14" i="64"/>
  <c r="W12" i="64"/>
  <c r="V86" i="64"/>
  <c r="V84" i="64"/>
  <c r="Y76" i="64"/>
  <c r="Y74" i="64"/>
  <c r="Y73" i="64"/>
  <c r="Y72" i="64"/>
  <c r="Y70" i="64"/>
  <c r="V61" i="64"/>
  <c r="W54" i="64"/>
  <c r="W53" i="64"/>
  <c r="W51" i="64"/>
  <c r="Y44" i="64"/>
  <c r="Y31" i="64"/>
  <c r="Y30" i="64"/>
  <c r="T28" i="64"/>
  <c r="Y25" i="64"/>
  <c r="V90" i="64"/>
  <c r="W85" i="64"/>
  <c r="W82" i="64"/>
  <c r="W81" i="64"/>
  <c r="T76" i="64"/>
  <c r="T68" i="64"/>
  <c r="W60" i="64"/>
  <c r="Y56" i="64"/>
  <c r="Y52" i="64"/>
  <c r="Y50" i="64"/>
  <c r="T45" i="64"/>
  <c r="T44" i="64"/>
  <c r="T43" i="64"/>
  <c r="Y29" i="64"/>
  <c r="V23" i="64"/>
  <c r="W13" i="64"/>
  <c r="AC38" i="64"/>
  <c r="T92" i="64"/>
  <c r="Y90" i="64"/>
  <c r="Y60" i="64"/>
  <c r="V59" i="64"/>
  <c r="W58" i="64"/>
  <c r="Y51" i="64"/>
  <c r="V50" i="64"/>
  <c r="W49" i="64"/>
  <c r="V41" i="64"/>
  <c r="V25" i="64"/>
  <c r="N22" i="64"/>
  <c r="N21" i="64"/>
  <c r="Q20" i="64"/>
  <c r="W20" i="64" s="1"/>
  <c r="S19" i="64"/>
  <c r="Y19" i="64" s="1"/>
  <c r="H14" i="64"/>
  <c r="T14" i="64" s="1"/>
  <c r="J13" i="64"/>
  <c r="J12" i="64"/>
  <c r="K11" i="64"/>
  <c r="N10" i="64"/>
  <c r="T10" i="64" s="1"/>
  <c r="N9" i="64"/>
  <c r="T9" i="64" s="1"/>
  <c r="N8" i="64"/>
  <c r="S7" i="64"/>
  <c r="AC6" i="64"/>
  <c r="AC68" i="64"/>
  <c r="D6" i="64"/>
  <c r="W83" i="64"/>
  <c r="W71" i="64"/>
  <c r="Y42" i="64"/>
  <c r="T41" i="64"/>
  <c r="H29" i="64"/>
  <c r="J28" i="64"/>
  <c r="J27" i="64"/>
  <c r="M26" i="64"/>
  <c r="Y26" i="64" s="1"/>
  <c r="N25" i="64"/>
  <c r="T25" i="64" s="1"/>
  <c r="N24" i="64"/>
  <c r="T24" i="64" s="1"/>
  <c r="Q23" i="64"/>
  <c r="W23" i="64" s="1"/>
  <c r="S22" i="64"/>
  <c r="Y22" i="64" s="1"/>
  <c r="S21" i="64"/>
  <c r="Y21" i="64" s="1"/>
  <c r="H17" i="64"/>
  <c r="J16" i="64"/>
  <c r="J15" i="64"/>
  <c r="M14" i="64"/>
  <c r="N13" i="64"/>
  <c r="T13" i="64" s="1"/>
  <c r="N12" i="64"/>
  <c r="P11" i="64"/>
  <c r="S10" i="64"/>
  <c r="Y10" i="64" s="1"/>
  <c r="S9" i="64"/>
  <c r="Y9" i="64" s="1"/>
  <c r="S8" i="64"/>
  <c r="Y8" i="64" s="1"/>
  <c r="V8" i="64"/>
  <c r="E6" i="64"/>
  <c r="W78" i="64"/>
  <c r="W61" i="64"/>
  <c r="Y54" i="64"/>
  <c r="V53" i="64"/>
  <c r="W52" i="64"/>
  <c r="T42" i="64"/>
  <c r="W28" i="64"/>
  <c r="T26" i="64"/>
  <c r="Y23" i="64"/>
  <c r="W15" i="64"/>
  <c r="W11" i="64"/>
  <c r="G6" i="64"/>
  <c r="Y88" i="64"/>
  <c r="T77" i="64"/>
  <c r="T75" i="64"/>
  <c r="T30" i="64"/>
  <c r="Y28" i="64"/>
  <c r="Y15" i="64"/>
  <c r="Y11" i="64"/>
  <c r="V9" i="64"/>
  <c r="H7" i="64"/>
  <c r="W86" i="64"/>
  <c r="Y79" i="64"/>
  <c r="V57" i="64"/>
  <c r="V48" i="64"/>
  <c r="Y41" i="64"/>
  <c r="V38" i="64"/>
  <c r="V30" i="64"/>
  <c r="V19" i="64"/>
  <c r="V18" i="64"/>
  <c r="W90" i="64"/>
  <c r="V88" i="64"/>
  <c r="W74" i="64"/>
  <c r="W70" i="64"/>
  <c r="W47" i="64"/>
  <c r="V40" i="64"/>
  <c r="V39" i="64"/>
  <c r="W31" i="64"/>
  <c r="W30" i="64"/>
  <c r="N29" i="64"/>
  <c r="P28" i="64"/>
  <c r="P27" i="64"/>
  <c r="J20" i="64"/>
  <c r="V20" i="64" s="1"/>
  <c r="K19" i="64"/>
  <c r="W19" i="64" s="1"/>
  <c r="K18" i="64"/>
  <c r="W18" i="64" s="1"/>
  <c r="N17" i="64"/>
  <c r="P16" i="64"/>
  <c r="P15" i="64"/>
  <c r="S14" i="64"/>
  <c r="H8" i="64"/>
  <c r="K7" i="64"/>
  <c r="Y18" i="64"/>
  <c r="M7" i="64"/>
  <c r="Y7" i="64" s="1"/>
  <c r="V92" i="64"/>
  <c r="Y91" i="64"/>
  <c r="T84" i="64"/>
  <c r="T80" i="64"/>
  <c r="Y78" i="64"/>
  <c r="V77" i="64"/>
  <c r="W59" i="64"/>
  <c r="Y58" i="64"/>
  <c r="T51" i="64"/>
  <c r="W50" i="64"/>
  <c r="E37" i="64"/>
  <c r="V22" i="64"/>
  <c r="V21" i="64"/>
  <c r="J10" i="64"/>
  <c r="N7" i="64"/>
  <c r="W89" i="64"/>
  <c r="V83" i="64"/>
  <c r="Y82" i="64"/>
  <c r="V75" i="64"/>
  <c r="T61" i="64"/>
  <c r="V60" i="64"/>
  <c r="T52" i="64"/>
  <c r="V51" i="64"/>
  <c r="W42" i="64"/>
  <c r="G37" i="64"/>
  <c r="W22" i="64"/>
  <c r="W21" i="64"/>
  <c r="T20" i="64"/>
  <c r="H11" i="64"/>
  <c r="T11" i="64" s="1"/>
  <c r="K10" i="64"/>
  <c r="W10" i="64" s="1"/>
  <c r="K9" i="64"/>
  <c r="W9" i="64" s="1"/>
  <c r="B67" i="64"/>
  <c r="AC7" i="64"/>
  <c r="D67" i="64"/>
  <c r="T38" i="64"/>
  <c r="V7" i="64"/>
  <c r="AC37" i="64"/>
  <c r="AC67" i="64"/>
  <c r="T8" i="64" l="1"/>
  <c r="P37" i="64"/>
  <c r="T47" i="64"/>
  <c r="Q67" i="64"/>
  <c r="W44" i="64"/>
  <c r="W37" i="64" s="1"/>
  <c r="W46" i="64"/>
  <c r="T71" i="64"/>
  <c r="T50" i="64"/>
  <c r="V69" i="64"/>
  <c r="Y45" i="64"/>
  <c r="AD68" i="64"/>
  <c r="S67" i="64"/>
  <c r="T12" i="64"/>
  <c r="H67" i="64"/>
  <c r="T69" i="64"/>
  <c r="T54" i="64"/>
  <c r="Y77" i="64"/>
  <c r="V72" i="64"/>
  <c r="M67" i="64"/>
  <c r="V87" i="64"/>
  <c r="AE68" i="64" s="1"/>
  <c r="V70" i="64"/>
  <c r="V12" i="64"/>
  <c r="T22" i="64"/>
  <c r="V10" i="64"/>
  <c r="V13" i="64"/>
  <c r="S37" i="64"/>
  <c r="T27" i="64"/>
  <c r="K37" i="64"/>
  <c r="N67" i="64"/>
  <c r="P67" i="64"/>
  <c r="H37" i="64"/>
  <c r="W41" i="64"/>
  <c r="Y75" i="64"/>
  <c r="Q37" i="64"/>
  <c r="T21" i="64"/>
  <c r="Y38" i="64"/>
  <c r="V73" i="64"/>
  <c r="N37" i="64"/>
  <c r="V79" i="64"/>
  <c r="AD38" i="64"/>
  <c r="AD37" i="64"/>
  <c r="M37" i="64"/>
  <c r="V17" i="64"/>
  <c r="Y14" i="64"/>
  <c r="Y6" i="64" s="1"/>
  <c r="T17" i="64"/>
  <c r="T29" i="64"/>
  <c r="V67" i="64"/>
  <c r="AF68" i="64" s="1"/>
  <c r="AA68" i="64" s="1"/>
  <c r="T67" i="64"/>
  <c r="AF67" i="64" s="1"/>
  <c r="AA67" i="64" s="1"/>
  <c r="Y37" i="64"/>
  <c r="Y67" i="64"/>
  <c r="AE38" i="64"/>
  <c r="P6" i="64"/>
  <c r="W67" i="64"/>
  <c r="Q6" i="64"/>
  <c r="AD7" i="64"/>
  <c r="AE67" i="64"/>
  <c r="V11" i="64"/>
  <c r="K6" i="64"/>
  <c r="W7" i="64"/>
  <c r="W6" i="64" s="1"/>
  <c r="J6" i="64"/>
  <c r="V16" i="64"/>
  <c r="M6" i="64"/>
  <c r="V15" i="64"/>
  <c r="AD6" i="64"/>
  <c r="H6" i="64"/>
  <c r="N6" i="64"/>
  <c r="V37" i="64"/>
  <c r="AF38" i="64" s="1"/>
  <c r="AA38" i="64" s="1"/>
  <c r="V28" i="64"/>
  <c r="S6" i="64"/>
  <c r="T7" i="64"/>
  <c r="T6" i="64" s="1"/>
  <c r="V27" i="64"/>
  <c r="T37" i="64"/>
  <c r="AF37" i="64" s="1"/>
  <c r="AA37" i="64" s="1"/>
  <c r="AE37" i="64"/>
  <c r="AE7" i="64" l="1"/>
  <c r="AE6" i="64"/>
  <c r="V6" i="64"/>
  <c r="AF7" i="64" s="1"/>
  <c r="AA7" i="64" s="1"/>
  <c r="AF6" i="64"/>
  <c r="AA6" i="64" s="1"/>
</calcChain>
</file>

<file path=xl/sharedStrings.xml><?xml version="1.0" encoding="utf-8"?>
<sst xmlns="http://schemas.openxmlformats.org/spreadsheetml/2006/main" count="2278" uniqueCount="443">
  <si>
    <t>창 고</t>
    <phoneticPr fontId="5" type="noConversion"/>
  </si>
  <si>
    <t>계</t>
  </si>
  <si>
    <t>구분</t>
  </si>
  <si>
    <t>필지</t>
  </si>
  <si>
    <t>/</t>
  </si>
  <si>
    <t>전</t>
  </si>
  <si>
    <t>답</t>
  </si>
  <si>
    <t>임야</t>
  </si>
  <si>
    <t>대지</t>
  </si>
  <si>
    <t>도로</t>
  </si>
  <si>
    <t>구거</t>
  </si>
  <si>
    <t>하천</t>
  </si>
  <si>
    <t>유지</t>
  </si>
  <si>
    <t>제방</t>
  </si>
  <si>
    <t>과수원</t>
  </si>
  <si>
    <t>공장</t>
  </si>
  <si>
    <t>목장</t>
  </si>
  <si>
    <t>학교용지</t>
  </si>
  <si>
    <t>철도</t>
  </si>
  <si>
    <t>묘지</t>
  </si>
  <si>
    <t>수도</t>
  </si>
  <si>
    <t>잡종지</t>
  </si>
  <si>
    <t>종교</t>
  </si>
  <si>
    <t>염전</t>
  </si>
  <si>
    <t>공원</t>
  </si>
  <si>
    <t>체육</t>
  </si>
  <si>
    <t>유원지</t>
  </si>
  <si>
    <t>비고</t>
  </si>
  <si>
    <t>총계</t>
  </si>
  <si>
    <t>국유지</t>
  </si>
  <si>
    <t>사유지</t>
  </si>
  <si>
    <t>국유지+사유지</t>
  </si>
  <si>
    <t>면적</t>
  </si>
  <si>
    <t>일련</t>
  </si>
  <si>
    <t>지 번</t>
  </si>
  <si>
    <t>지목</t>
  </si>
  <si>
    <t>소  유  자</t>
  </si>
  <si>
    <t>관  계  인</t>
  </si>
  <si>
    <t>번호</t>
  </si>
  <si>
    <t>성  명</t>
  </si>
  <si>
    <t>주  소</t>
  </si>
  <si>
    <t>소   계</t>
  </si>
  <si>
    <t>미지번</t>
    <phoneticPr fontId="5" type="noConversion"/>
  </si>
  <si>
    <t>주유소</t>
    <phoneticPr fontId="5" type="noConversion"/>
  </si>
  <si>
    <t>변경</t>
    <phoneticPr fontId="5" type="noConversion"/>
  </si>
  <si>
    <t>면적(㎡)</t>
    <phoneticPr fontId="5" type="noConversion"/>
  </si>
  <si>
    <t>당초</t>
    <phoneticPr fontId="5" type="noConversion"/>
  </si>
  <si>
    <t>용  지  조  서</t>
    <phoneticPr fontId="6" type="noConversion"/>
  </si>
  <si>
    <t>편 입 용 지 집 계 표</t>
    <phoneticPr fontId="5" type="noConversion"/>
  </si>
  <si>
    <t>지 적( ㎡ )</t>
    <phoneticPr fontId="6" type="noConversion"/>
  </si>
  <si>
    <t>편입면적(㎡)</t>
    <phoneticPr fontId="6" type="noConversion"/>
  </si>
  <si>
    <t>증감    내역(㎡)</t>
    <phoneticPr fontId="6" type="noConversion"/>
  </si>
  <si>
    <t>당초</t>
    <phoneticPr fontId="6" type="noConversion"/>
  </si>
  <si>
    <t>변경</t>
    <phoneticPr fontId="6" type="noConversion"/>
  </si>
  <si>
    <t>권리관계</t>
    <phoneticPr fontId="6" type="noConversion"/>
  </si>
  <si>
    <t>계</t>
    <phoneticPr fontId="5" type="noConversion"/>
  </si>
  <si>
    <t>국유지</t>
    <phoneticPr fontId="5" type="noConversion"/>
  </si>
  <si>
    <t>공유지</t>
    <phoneticPr fontId="5" type="noConversion"/>
  </si>
  <si>
    <t>사유지</t>
    <phoneticPr fontId="5" type="noConversion"/>
  </si>
  <si>
    <t>지번</t>
    <phoneticPr fontId="5" type="noConversion"/>
  </si>
  <si>
    <t>지목</t>
    <phoneticPr fontId="5" type="noConversion"/>
  </si>
  <si>
    <t>장화리</t>
    <phoneticPr fontId="5" type="noConversion"/>
  </si>
  <si>
    <t>지적면적(m²)
(CAD구적면적)</t>
    <phoneticPr fontId="5" type="noConversion"/>
  </si>
  <si>
    <t>편입면적(m²)</t>
    <phoneticPr fontId="5" type="noConversion"/>
  </si>
  <si>
    <t>지적면적
(m²)</t>
    <phoneticPr fontId="5" type="noConversion"/>
  </si>
  <si>
    <t>기정</t>
    <phoneticPr fontId="5" type="noConversion"/>
  </si>
  <si>
    <t>당초</t>
    <phoneticPr fontId="5" type="noConversion"/>
  </si>
  <si>
    <t>변경</t>
    <phoneticPr fontId="5" type="noConversion"/>
  </si>
  <si>
    <t>염전</t>
    <phoneticPr fontId="5" type="noConversion"/>
  </si>
  <si>
    <t>3공구</t>
    <phoneticPr fontId="5" type="noConversion"/>
  </si>
  <si>
    <t>임</t>
  </si>
  <si>
    <t>산231</t>
  </si>
  <si>
    <t>도</t>
  </si>
  <si>
    <t>1413</t>
  </si>
  <si>
    <t>324-1</t>
  </si>
  <si>
    <t>1910</t>
  </si>
  <si>
    <t>322-3</t>
  </si>
  <si>
    <t>대</t>
  </si>
  <si>
    <t>316-5</t>
  </si>
  <si>
    <t>유</t>
  </si>
  <si>
    <t>316-19</t>
  </si>
  <si>
    <t>1861</t>
  </si>
  <si>
    <t>구</t>
  </si>
  <si>
    <t>1709</t>
  </si>
  <si>
    <t>1940</t>
  </si>
  <si>
    <t>1911</t>
  </si>
  <si>
    <t>1928</t>
  </si>
  <si>
    <t>국</t>
  </si>
  <si>
    <t>농림축산식품부</t>
  </si>
  <si>
    <t>공</t>
  </si>
  <si>
    <t>인천광역시 강화군</t>
  </si>
  <si>
    <t>강화군</t>
  </si>
  <si>
    <t>기획재정부</t>
  </si>
  <si>
    <t>602-1</t>
  </si>
  <si>
    <t>602-10</t>
  </si>
  <si>
    <t>602-6</t>
  </si>
  <si>
    <t>54</t>
  </si>
  <si>
    <t>528</t>
  </si>
  <si>
    <t>52-1</t>
  </si>
  <si>
    <t>2-21</t>
  </si>
  <si>
    <t>47-1</t>
  </si>
  <si>
    <t>46-1</t>
  </si>
  <si>
    <t>3-1</t>
  </si>
  <si>
    <t>4-1</t>
  </si>
  <si>
    <t>5-2</t>
  </si>
  <si>
    <t>5-1</t>
  </si>
  <si>
    <t>16-1</t>
  </si>
  <si>
    <t>525</t>
  </si>
  <si>
    <t>6-1</t>
  </si>
  <si>
    <t>884</t>
  </si>
  <si>
    <t>885</t>
  </si>
  <si>
    <t>881</t>
  </si>
  <si>
    <t>841</t>
  </si>
  <si>
    <t>868</t>
  </si>
  <si>
    <t>867</t>
  </si>
  <si>
    <t>866</t>
  </si>
  <si>
    <t>13-3</t>
  </si>
  <si>
    <t>15-1</t>
  </si>
  <si>
    <t>524</t>
  </si>
  <si>
    <t>12-2</t>
  </si>
  <si>
    <t>12-1</t>
  </si>
  <si>
    <t>843</t>
  </si>
  <si>
    <t>842</t>
  </si>
  <si>
    <t>국토해양부</t>
  </si>
  <si>
    <t>군도18호선 - 사기리</t>
    <phoneticPr fontId="5" type="noConversion"/>
  </si>
  <si>
    <t>군도 18호선 - 덕포리</t>
    <phoneticPr fontId="5" type="noConversion"/>
  </si>
  <si>
    <t>군도18호선 - 선두리</t>
    <phoneticPr fontId="5" type="noConversion"/>
  </si>
  <si>
    <t>미등기</t>
    <phoneticPr fontId="5" type="noConversion"/>
  </si>
  <si>
    <t>안양농업협동조합</t>
    <phoneticPr fontId="5" type="noConversion"/>
  </si>
  <si>
    <t>근저당권</t>
    <phoneticPr fontId="5" type="noConversion"/>
  </si>
  <si>
    <t>화도농업협동조합</t>
    <phoneticPr fontId="5" type="noConversion"/>
  </si>
  <si>
    <t xml:space="preserve"> </t>
    <phoneticPr fontId="5" type="noConversion"/>
  </si>
  <si>
    <t>1192-5</t>
    <phoneticPr fontId="5" type="noConversion"/>
  </si>
  <si>
    <t>답</t>
    <phoneticPr fontId="5" type="noConversion"/>
  </si>
  <si>
    <t>공</t>
    <phoneticPr fontId="5" type="noConversion"/>
  </si>
  <si>
    <t>강화군</t>
    <phoneticPr fontId="5" type="noConversion"/>
  </si>
  <si>
    <t>유*수</t>
    <phoneticPr fontId="5" type="noConversion"/>
  </si>
  <si>
    <t>인천광역시 강화군 
화도면 덕포길 ***</t>
    <phoneticPr fontId="5" type="noConversion"/>
  </si>
  <si>
    <t>경기도 안양시 동안구 부림로 169번길 **</t>
    <phoneticPr fontId="5" type="noConversion"/>
  </si>
  <si>
    <t>이*춘</t>
    <phoneticPr fontId="5" type="noConversion"/>
  </si>
  <si>
    <t>이*현</t>
    <phoneticPr fontId="5" type="noConversion"/>
  </si>
  <si>
    <t>이*례</t>
    <phoneticPr fontId="5" type="noConversion"/>
  </si>
  <si>
    <t>김*순</t>
    <phoneticPr fontId="5" type="noConversion"/>
  </si>
  <si>
    <t>방*준</t>
    <phoneticPr fontId="5" type="noConversion"/>
  </si>
  <si>
    <t>인천광역시 강화군
화도면 사기리 **</t>
    <phoneticPr fontId="5" type="noConversion"/>
  </si>
  <si>
    <t>인천광역시 강화군
화도면 동막리 **</t>
    <phoneticPr fontId="5" type="noConversion"/>
  </si>
  <si>
    <t>박*택</t>
    <phoneticPr fontId="5" type="noConversion"/>
  </si>
  <si>
    <t>인천광역시 강화군
화도면 상방리 ***</t>
    <phoneticPr fontId="5" type="noConversion"/>
  </si>
  <si>
    <t>인천광역시 강화군
화도면 사기리 ***</t>
    <phoneticPr fontId="5" type="noConversion"/>
  </si>
  <si>
    <t>김*수</t>
    <phoneticPr fontId="5" type="noConversion"/>
  </si>
  <si>
    <t>이*관</t>
    <phoneticPr fontId="5" type="noConversion"/>
  </si>
  <si>
    <t>인천광역시 강화군
화도면 덕포리 ***</t>
    <phoneticPr fontId="5" type="noConversion"/>
  </si>
  <si>
    <t>전*님</t>
    <phoneticPr fontId="5" type="noConversion"/>
  </si>
  <si>
    <t>김*섭</t>
    <phoneticPr fontId="5" type="noConversion"/>
  </si>
  <si>
    <t>구*철</t>
    <phoneticPr fontId="5" type="noConversion"/>
  </si>
  <si>
    <t>차*례</t>
    <phoneticPr fontId="5" type="noConversion"/>
  </si>
  <si>
    <t>인천광역시 강화군
강화읍 신문리 ***</t>
    <phoneticPr fontId="5" type="noConversion"/>
  </si>
  <si>
    <t>경기도 군포시 금정동 871-7 소월아파트 ***</t>
    <phoneticPr fontId="5" type="noConversion"/>
  </si>
  <si>
    <t>강화군 화도면 덕포길 ***</t>
    <phoneticPr fontId="5" type="noConversion"/>
  </si>
  <si>
    <t>서울특별시 영등포구 양평동6가 99 한솔아파트 ***</t>
    <phoneticPr fontId="5" type="noConversion"/>
  </si>
  <si>
    <t>62-1</t>
    <phoneticPr fontId="5" type="noConversion"/>
  </si>
  <si>
    <t>61-1</t>
    <phoneticPr fontId="5" type="noConversion"/>
  </si>
  <si>
    <t>김*기</t>
    <phoneticPr fontId="5" type="noConversion"/>
  </si>
  <si>
    <t>산6-1</t>
    <phoneticPr fontId="5" type="noConversion"/>
  </si>
  <si>
    <t>구*회</t>
    <phoneticPr fontId="5" type="noConversion"/>
  </si>
  <si>
    <t>1939-1</t>
    <phoneticPr fontId="5" type="noConversion"/>
  </si>
  <si>
    <t>327-3</t>
    <phoneticPr fontId="5" type="noConversion"/>
  </si>
  <si>
    <t>318-4</t>
    <phoneticPr fontId="5" type="noConversion"/>
  </si>
  <si>
    <t>319-9</t>
    <phoneticPr fontId="5" type="noConversion"/>
  </si>
  <si>
    <t>번호 밀림</t>
    <phoneticPr fontId="5" type="noConversion"/>
  </si>
  <si>
    <t>구분
(지적분할)</t>
    <phoneticPr fontId="5" type="noConversion"/>
  </si>
  <si>
    <t>1192-4</t>
    <phoneticPr fontId="5" type="noConversion"/>
  </si>
  <si>
    <t>답</t>
    <phoneticPr fontId="5" type="noConversion"/>
  </si>
  <si>
    <t>공</t>
    <phoneticPr fontId="5" type="noConversion"/>
  </si>
  <si>
    <t>강화군</t>
    <phoneticPr fontId="5" type="noConversion"/>
  </si>
  <si>
    <t>1191</t>
    <phoneticPr fontId="5" type="noConversion"/>
  </si>
  <si>
    <t>제</t>
    <phoneticPr fontId="5" type="noConversion"/>
  </si>
  <si>
    <t>국</t>
    <phoneticPr fontId="5" type="noConversion"/>
  </si>
  <si>
    <t>농림축산식품부</t>
    <phoneticPr fontId="5" type="noConversion"/>
  </si>
  <si>
    <t>변경</t>
    <phoneticPr fontId="5" type="noConversion"/>
  </si>
  <si>
    <t>이*현</t>
    <phoneticPr fontId="5" type="noConversion"/>
  </si>
  <si>
    <t>인천광역시 강화군
화도면 사기리 **</t>
    <phoneticPr fontId="5" type="noConversion"/>
  </si>
  <si>
    <t>51-2</t>
    <phoneticPr fontId="5" type="noConversion"/>
  </si>
  <si>
    <t>48-2</t>
    <phoneticPr fontId="5" type="noConversion"/>
  </si>
  <si>
    <t>이*례</t>
    <phoneticPr fontId="5" type="noConversion"/>
  </si>
  <si>
    <t>43-2</t>
    <phoneticPr fontId="5" type="noConversion"/>
  </si>
  <si>
    <t>김*순</t>
    <phoneticPr fontId="5" type="noConversion"/>
  </si>
  <si>
    <t>이*춘</t>
    <phoneticPr fontId="5" type="noConversion"/>
  </si>
  <si>
    <t>인천광역시 강화군
화도면 사기리 **</t>
    <phoneticPr fontId="5" type="noConversion"/>
  </si>
  <si>
    <t>변경</t>
    <phoneticPr fontId="5" type="noConversion"/>
  </si>
  <si>
    <t>41-3</t>
    <phoneticPr fontId="5" type="noConversion"/>
  </si>
  <si>
    <t>방*준</t>
    <phoneticPr fontId="5" type="noConversion"/>
  </si>
  <si>
    <t>방*배</t>
    <phoneticPr fontId="5" type="noConversion"/>
  </si>
  <si>
    <t>변경</t>
    <phoneticPr fontId="5" type="noConversion"/>
  </si>
  <si>
    <t>15-3</t>
    <phoneticPr fontId="5" type="noConversion"/>
  </si>
  <si>
    <t>박*택</t>
    <phoneticPr fontId="5" type="noConversion"/>
  </si>
  <si>
    <t>인천광역시 강화군
화도면 동막리 **</t>
    <phoneticPr fontId="5" type="noConversion"/>
  </si>
  <si>
    <t>15-4</t>
    <phoneticPr fontId="5" type="noConversion"/>
  </si>
  <si>
    <t>변경</t>
    <phoneticPr fontId="5" type="noConversion"/>
  </si>
  <si>
    <t>변경</t>
    <phoneticPr fontId="5" type="noConversion"/>
  </si>
  <si>
    <t>소계</t>
    <phoneticPr fontId="5" type="noConversion"/>
  </si>
  <si>
    <t>869-2</t>
    <phoneticPr fontId="5" type="noConversion"/>
  </si>
  <si>
    <t>김*순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</si>
  <si>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</si>
  <si>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</si>
  <si>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</si>
  <si>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869-1</t>
    <phoneticPr fontId="5" type="noConversion"/>
  </si>
  <si>
    <t>답</t>
    <phoneticPr fontId="5" type="noConversion"/>
  </si>
  <si>
    <t>변경</t>
    <phoneticPr fontId="5" type="noConversion"/>
  </si>
  <si>
    <t>변경</t>
    <phoneticPr fontId="5" type="noConversion"/>
  </si>
  <si>
    <t>865-1</t>
    <phoneticPr fontId="5" type="noConversion"/>
  </si>
  <si>
    <t>김*기</t>
    <phoneticPr fontId="5" type="noConversion"/>
  </si>
  <si>
    <t>인천광역시 강화군
화도면 사기리 ***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</si>
  <si>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</si>
  <si>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</si>
  <si>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</si>
  <si>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김*수</t>
    <phoneticPr fontId="5" type="noConversion"/>
  </si>
  <si>
    <t>박*희</t>
    <phoneticPr fontId="5" type="noConversion"/>
  </si>
  <si>
    <t>경기도 시흥시 정왕동 1869 주공아파트 ***</t>
    <phoneticPr fontId="5" type="noConversion"/>
  </si>
  <si>
    <t>김*현</t>
    <phoneticPr fontId="5" type="noConversion"/>
  </si>
  <si>
    <t>경기도 성남시 분당구 분당동 35 샛별마을 ***</t>
    <phoneticPr fontId="5" type="noConversion"/>
  </si>
  <si>
    <t>이*영</t>
    <phoneticPr fontId="5" type="noConversion"/>
  </si>
  <si>
    <t>서울특별시 양천구 목동 951외1필지 목동금호어울림아파트 **</t>
    <phoneticPr fontId="5" type="noConversion"/>
  </si>
  <si>
    <t>정*순</t>
    <phoneticPr fontId="5" type="noConversion"/>
  </si>
  <si>
    <t>경기도 수원시 장안구 천천동 569 일성아파트 ***</t>
    <phoneticPr fontId="5" type="noConversion"/>
  </si>
  <si>
    <t>임*택</t>
    <phoneticPr fontId="5" type="noConversion"/>
  </si>
  <si>
    <t>서울특별시 성북구 돈암동 524 일신건영휴먼빌아파트 ***</t>
    <phoneticPr fontId="5" type="noConversion"/>
  </si>
  <si>
    <t>성*선</t>
    <phoneticPr fontId="5" type="noConversion"/>
  </si>
  <si>
    <t>서울시 양천구 목동904 목동신시가지아파트 ***</t>
    <phoneticPr fontId="5" type="noConversion"/>
  </si>
  <si>
    <t>윤*택</t>
    <phoneticPr fontId="5" type="noConversion"/>
  </si>
  <si>
    <t>서울특별시 동작구 흑석동 ***</t>
    <phoneticPr fontId="5" type="noConversion"/>
  </si>
  <si>
    <t>심*덕</t>
    <phoneticPr fontId="5" type="noConversion"/>
  </si>
  <si>
    <t>인천시 남동구 논현동 634-1 어진마을한화꿈에그린아파트 ***</t>
    <phoneticPr fontId="5" type="noConversion"/>
  </si>
  <si>
    <t>현*상</t>
    <phoneticPr fontId="5" type="noConversion"/>
  </si>
  <si>
    <t>서울시 서초구 서초동
1617-26 드림하이츠 ***</t>
    <phoneticPr fontId="5" type="noConversion"/>
  </si>
  <si>
    <t>주*관</t>
    <phoneticPr fontId="5" type="noConversion"/>
  </si>
  <si>
    <t>인천광역시 계양구 계산동 931-28 지산그라띠아 ***</t>
    <phoneticPr fontId="5" type="noConversion"/>
  </si>
  <si>
    <t>유*숙</t>
    <phoneticPr fontId="5" type="noConversion"/>
  </si>
  <si>
    <t>인천광역시 계양구 계산동 1085-2 은행마을태평아파트 ***</t>
    <phoneticPr fontId="5" type="noConversion"/>
  </si>
  <si>
    <t>윤*경</t>
    <phoneticPr fontId="5" type="noConversion"/>
  </si>
  <si>
    <t>서울시 서초구 우면동 57 대림아파트 ***</t>
    <phoneticPr fontId="5" type="noConversion"/>
  </si>
  <si>
    <t>김*직</t>
    <phoneticPr fontId="5" type="noConversion"/>
  </si>
  <si>
    <t>울산광역시 남구 신정동 1639-1 문수로아이파크 ***</t>
    <phoneticPr fontId="5" type="noConversion"/>
  </si>
  <si>
    <t>정*희</t>
    <phoneticPr fontId="5" type="noConversion"/>
  </si>
  <si>
    <t>경기도 남양주시 지금동 717 사랑으로부영아파트 ***</t>
    <phoneticPr fontId="5" type="noConversion"/>
  </si>
  <si>
    <t>주*현</t>
    <phoneticPr fontId="5" type="noConversion"/>
  </si>
  <si>
    <t>서울시 중랑구 면목동 1521 두원아파트 ***</t>
    <phoneticPr fontId="5" type="noConversion"/>
  </si>
  <si>
    <t>안*희</t>
    <phoneticPr fontId="5" type="noConversion"/>
  </si>
  <si>
    <t>서울시 서대문구 북가좌동 456 휴먼빌아파트 ***</t>
    <phoneticPr fontId="5" type="noConversion"/>
  </si>
  <si>
    <t>조*래</t>
    <phoneticPr fontId="5" type="noConversion"/>
  </si>
  <si>
    <t>서울시 성북구 길음동 481-20 ***</t>
    <phoneticPr fontId="5" type="noConversion"/>
  </si>
  <si>
    <t>서울시 송파구 송파동 95-23 ***</t>
    <phoneticPr fontId="5" type="noConversion"/>
  </si>
  <si>
    <t>김*훈</t>
    <phoneticPr fontId="5" type="noConversion"/>
  </si>
  <si>
    <t>서울시 송파구 석촌동 291-3 양지하이츠빌 ***</t>
    <phoneticPr fontId="5" type="noConversion"/>
  </si>
  <si>
    <t>이*숙</t>
    <phoneticPr fontId="5" type="noConversion"/>
  </si>
  <si>
    <t>서울시 서초구 방배동 562-1 방배대우아파트 ***</t>
    <phoneticPr fontId="5" type="noConversion"/>
  </si>
  <si>
    <t>조*경</t>
    <phoneticPr fontId="5" type="noConversion"/>
  </si>
  <si>
    <t>경기도 광명시 안현로 36, 
고층주공아파트 ***</t>
    <phoneticPr fontId="5" type="noConversion"/>
  </si>
  <si>
    <t>변경</t>
    <phoneticPr fontId="5" type="noConversion"/>
  </si>
  <si>
    <t>이*관</t>
    <phoneticPr fontId="5" type="noConversion"/>
  </si>
  <si>
    <t>인천광역시 강화군
화도면 사기리 ***</t>
    <phoneticPr fontId="5" type="noConversion"/>
  </si>
  <si>
    <t>847-1</t>
    <phoneticPr fontId="5" type="noConversion"/>
  </si>
  <si>
    <t>전*님</t>
    <phoneticPr fontId="5" type="noConversion"/>
  </si>
  <si>
    <t>인천광역시 강화군
화도면 덕포리 ***</t>
    <phoneticPr fontId="5" type="noConversion"/>
  </si>
  <si>
    <t>화도농업협동조합</t>
    <phoneticPr fontId="5" type="noConversion"/>
  </si>
  <si>
    <t>인천광역시 강화군
화도면 상방리 ***</t>
    <phoneticPr fontId="5" type="noConversion"/>
  </si>
  <si>
    <t>근저당권</t>
    <phoneticPr fontId="5" type="noConversion"/>
  </si>
  <si>
    <t>846-1</t>
    <phoneticPr fontId="5" type="noConversion"/>
  </si>
  <si>
    <t>변경</t>
    <phoneticPr fontId="5" type="noConversion"/>
  </si>
  <si>
    <t>62</t>
    <phoneticPr fontId="5" type="noConversion"/>
  </si>
  <si>
    <t>61</t>
    <phoneticPr fontId="5" type="noConversion"/>
  </si>
  <si>
    <t>근저당권,
지상권</t>
    <phoneticPr fontId="5" type="noConversion"/>
  </si>
  <si>
    <t>51-1</t>
    <phoneticPr fontId="5" type="noConversion"/>
  </si>
  <si>
    <t>48-1</t>
    <phoneticPr fontId="5" type="noConversion"/>
  </si>
  <si>
    <t>43-1</t>
    <phoneticPr fontId="5" type="noConversion"/>
  </si>
  <si>
    <t>41-1</t>
    <phoneticPr fontId="5" type="noConversion"/>
  </si>
  <si>
    <t>15</t>
    <phoneticPr fontId="5" type="noConversion"/>
  </si>
  <si>
    <t>15-2</t>
    <phoneticPr fontId="5" type="noConversion"/>
  </si>
  <si>
    <t>김*남 외 22인</t>
    <phoneticPr fontId="5" type="noConversion"/>
  </si>
  <si>
    <t>869</t>
    <phoneticPr fontId="5" type="noConversion"/>
  </si>
  <si>
    <t>865</t>
    <phoneticPr fontId="5" type="noConversion"/>
  </si>
  <si>
    <t>산6</t>
    <phoneticPr fontId="5" type="noConversion"/>
  </si>
  <si>
    <t>15-5</t>
    <phoneticPr fontId="5" type="noConversion"/>
  </si>
  <si>
    <t>15-6</t>
    <phoneticPr fontId="5" type="noConversion"/>
  </si>
  <si>
    <t>847</t>
    <phoneticPr fontId="5" type="noConversion"/>
  </si>
  <si>
    <t>846</t>
    <phoneticPr fontId="5" type="noConversion"/>
  </si>
  <si>
    <t>변경</t>
    <phoneticPr fontId="5" type="noConversion"/>
  </si>
  <si>
    <t>구*재</t>
    <phoneticPr fontId="5" type="noConversion"/>
  </si>
  <si>
    <t>변경</t>
    <phoneticPr fontId="5" type="noConversion"/>
  </si>
  <si>
    <t>1912-1</t>
    <phoneticPr fontId="5" type="noConversion"/>
  </si>
  <si>
    <t>구*회</t>
    <phoneticPr fontId="5" type="noConversion"/>
  </si>
  <si>
    <t>인천광역시 강화군
화도면 덕포리 ***</t>
    <phoneticPr fontId="5" type="noConversion"/>
  </si>
  <si>
    <t>319-8</t>
    <phoneticPr fontId="5" type="noConversion"/>
  </si>
  <si>
    <t>김*섭</t>
    <phoneticPr fontId="5" type="noConversion"/>
  </si>
  <si>
    <t>산6-2</t>
    <phoneticPr fontId="5" type="noConversion"/>
  </si>
  <si>
    <t>이*관</t>
    <phoneticPr fontId="5" type="noConversion"/>
  </si>
  <si>
    <t>강화군 화도면 덕포길 ***</t>
    <phoneticPr fontId="5" type="noConversion"/>
  </si>
  <si>
    <t>325-1</t>
    <phoneticPr fontId="5" type="noConversion"/>
  </si>
  <si>
    <t>구*재</t>
    <phoneticPr fontId="5" type="noConversion"/>
  </si>
  <si>
    <t>325</t>
    <phoneticPr fontId="5" type="noConversion"/>
  </si>
  <si>
    <t>327-2</t>
    <phoneticPr fontId="5" type="noConversion"/>
  </si>
  <si>
    <t>319-1</t>
    <phoneticPr fontId="5" type="noConversion"/>
  </si>
  <si>
    <t>318-1</t>
    <phoneticPr fontId="5" type="noConversion"/>
  </si>
  <si>
    <t>319-2</t>
    <phoneticPr fontId="5" type="noConversion"/>
  </si>
  <si>
    <t>1939</t>
    <phoneticPr fontId="5" type="noConversion"/>
  </si>
  <si>
    <t>1912</t>
    <phoneticPr fontId="5" type="noConversion"/>
  </si>
  <si>
    <t>용지</t>
    <phoneticPr fontId="5" type="noConversion"/>
  </si>
  <si>
    <t>번호</t>
    <phoneticPr fontId="5" type="noConversion"/>
  </si>
  <si>
    <t>소재지</t>
    <phoneticPr fontId="5" type="noConversion"/>
  </si>
  <si>
    <t>편입면적</t>
    <phoneticPr fontId="5" type="noConversion"/>
  </si>
  <si>
    <t>(m²)</t>
    <phoneticPr fontId="5" type="noConversion"/>
  </si>
  <si>
    <t>권리</t>
    <phoneticPr fontId="5" type="noConversion"/>
  </si>
  <si>
    <t>선두리</t>
    <phoneticPr fontId="5" type="noConversion"/>
  </si>
  <si>
    <t>사기리</t>
    <phoneticPr fontId="5" type="noConversion"/>
  </si>
  <si>
    <t>덕포리</t>
    <phoneticPr fontId="5" type="noConversion"/>
  </si>
  <si>
    <t>임</t>
    <phoneticPr fontId="5" type="noConversion"/>
  </si>
  <si>
    <t>이*준</t>
    <phoneticPr fontId="5" type="noConversion"/>
  </si>
  <si>
    <t>서울시 강동구 천호동 ***</t>
    <phoneticPr fontId="5" type="noConversion"/>
  </si>
  <si>
    <t>편입면적
(m²)</t>
    <phoneticPr fontId="5" type="noConversion"/>
  </si>
  <si>
    <t>공시지가</t>
    <phoneticPr fontId="5" type="noConversion"/>
  </si>
  <si>
    <t>지분율</t>
    <phoneticPr fontId="5" type="noConversion"/>
  </si>
  <si>
    <t>전필지유무</t>
    <phoneticPr fontId="5" type="noConversion"/>
  </si>
  <si>
    <t>지목</t>
    <phoneticPr fontId="5" type="noConversion"/>
  </si>
  <si>
    <t>(변경)</t>
    <phoneticPr fontId="5" type="noConversion"/>
  </si>
  <si>
    <t>도</t>
    <phoneticPr fontId="5" type="noConversion"/>
  </si>
  <si>
    <t>1402-7</t>
    <phoneticPr fontId="5" type="noConversion"/>
  </si>
  <si>
    <t>1402-1</t>
    <phoneticPr fontId="5" type="noConversion"/>
  </si>
  <si>
    <t>도</t>
    <phoneticPr fontId="5" type="noConversion"/>
  </si>
  <si>
    <t>1402-6</t>
    <phoneticPr fontId="5" type="noConversion"/>
  </si>
  <si>
    <t>1400-3</t>
    <phoneticPr fontId="5" type="noConversion"/>
  </si>
  <si>
    <t>1400-8</t>
    <phoneticPr fontId="5" type="noConversion"/>
  </si>
  <si>
    <t>1400-1</t>
    <phoneticPr fontId="5" type="noConversion"/>
  </si>
  <si>
    <t>1400-7</t>
    <phoneticPr fontId="5" type="noConversion"/>
  </si>
  <si>
    <t>1400-4</t>
    <phoneticPr fontId="5" type="noConversion"/>
  </si>
  <si>
    <t>전</t>
    <phoneticPr fontId="5" type="noConversion"/>
  </si>
  <si>
    <t>1401-4</t>
    <phoneticPr fontId="5" type="noConversion"/>
  </si>
  <si>
    <t>1393-1</t>
    <phoneticPr fontId="5" type="noConversion"/>
  </si>
  <si>
    <t>1393-2</t>
    <phoneticPr fontId="5" type="noConversion"/>
  </si>
  <si>
    <t>대</t>
    <phoneticPr fontId="5" type="noConversion"/>
  </si>
  <si>
    <t>1392-14</t>
    <phoneticPr fontId="5" type="noConversion"/>
  </si>
  <si>
    <t>1392-15</t>
    <phoneticPr fontId="5" type="noConversion"/>
  </si>
  <si>
    <t>1392-9</t>
    <phoneticPr fontId="5" type="noConversion"/>
  </si>
  <si>
    <t>1392-30</t>
    <phoneticPr fontId="5" type="noConversion"/>
  </si>
  <si>
    <t>1392-29</t>
    <phoneticPr fontId="5" type="noConversion"/>
  </si>
  <si>
    <t>1392-11</t>
    <phoneticPr fontId="5" type="noConversion"/>
  </si>
  <si>
    <t>1375-3</t>
    <phoneticPr fontId="5" type="noConversion"/>
  </si>
  <si>
    <t>도</t>
    <phoneticPr fontId="5" type="noConversion"/>
  </si>
  <si>
    <t>1375-11</t>
    <phoneticPr fontId="5" type="noConversion"/>
  </si>
  <si>
    <t>산377</t>
    <phoneticPr fontId="5" type="noConversion"/>
  </si>
  <si>
    <t>1375-12</t>
    <phoneticPr fontId="5" type="noConversion"/>
  </si>
  <si>
    <t>1401-2</t>
    <phoneticPr fontId="5" type="noConversion"/>
  </si>
  <si>
    <t>대</t>
    <phoneticPr fontId="5" type="noConversion"/>
  </si>
  <si>
    <t>1771</t>
    <phoneticPr fontId="5" type="noConversion"/>
  </si>
  <si>
    <t>구</t>
    <phoneticPr fontId="5" type="noConversion"/>
  </si>
  <si>
    <t>1392</t>
    <phoneticPr fontId="5" type="noConversion"/>
  </si>
  <si>
    <t>전</t>
    <phoneticPr fontId="5" type="noConversion"/>
  </si>
  <si>
    <t>1392-6</t>
    <phoneticPr fontId="5" type="noConversion"/>
  </si>
  <si>
    <t>산201-5</t>
    <phoneticPr fontId="5" type="noConversion"/>
  </si>
  <si>
    <t>임</t>
    <phoneticPr fontId="5" type="noConversion"/>
  </si>
  <si>
    <t>산201-2</t>
    <phoneticPr fontId="5" type="noConversion"/>
  </si>
  <si>
    <t>국</t>
    <phoneticPr fontId="5" type="noConversion"/>
  </si>
  <si>
    <t>인천광역시</t>
    <phoneticPr fontId="5" type="noConversion"/>
  </si>
  <si>
    <t>공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</si>
  <si>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</si>
  <si>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</si>
  <si>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</si>
  <si>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</si>
  <si>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중산동</t>
    <phoneticPr fontId="5" type="noConversion"/>
  </si>
  <si>
    <t>국토교통부</t>
    <phoneticPr fontId="5" type="noConversion"/>
  </si>
  <si>
    <t>농림축산식품부</t>
    <phoneticPr fontId="5" type="noConversion"/>
  </si>
  <si>
    <t>기획재정부</t>
    <phoneticPr fontId="5" type="noConversion"/>
  </si>
  <si>
    <t>뉴질랜드 크라이스트처치시아일남 크라케로드 87비</t>
    <phoneticPr fontId="5" type="noConversion"/>
  </si>
  <si>
    <t>인천광역시중구</t>
    <phoneticPr fontId="5" type="noConversion"/>
  </si>
  <si>
    <t>농협은행주식회사</t>
    <phoneticPr fontId="5" type="noConversion"/>
  </si>
  <si>
    <t>서울특별시 중구 통일로 120(충정로1가)
(신현동지점)</t>
    <phoneticPr fontId="5" type="noConversion"/>
  </si>
  <si>
    <t>근저당권</t>
  </si>
  <si>
    <t>근저당권</t>
    <phoneticPr fontId="5" type="noConversion"/>
  </si>
  <si>
    <t>조순철</t>
    <phoneticPr fontId="5" type="noConversion"/>
  </si>
  <si>
    <t>이태순</t>
    <phoneticPr fontId="5" type="noConversion"/>
  </si>
  <si>
    <t>주식회사국민은행</t>
    <phoneticPr fontId="5" type="noConversion"/>
  </si>
  <si>
    <t>서울특별시 중구 남대문로 84(을지로2가)
(인천남동지점)</t>
    <phoneticPr fontId="5" type="noConversion"/>
  </si>
  <si>
    <t>중구농업협동조합</t>
    <phoneticPr fontId="5" type="noConversion"/>
  </si>
  <si>
    <t>인천광역시 중구 운남동 383</t>
    <phoneticPr fontId="5" type="noConversion"/>
  </si>
  <si>
    <t>근저당권,지상권</t>
    <phoneticPr fontId="5" type="noConversion"/>
  </si>
  <si>
    <t>인천광역시 중구 운남동 433-3</t>
    <phoneticPr fontId="5" type="noConversion"/>
  </si>
  <si>
    <t>인천광역시 중구 운남로 166</t>
    <phoneticPr fontId="5" type="noConversion"/>
  </si>
  <si>
    <t>1392-10</t>
    <phoneticPr fontId="5" type="noConversion"/>
  </si>
  <si>
    <t>대</t>
    <phoneticPr fontId="5" type="noConversion"/>
  </si>
  <si>
    <t>1392-31</t>
    <phoneticPr fontId="5" type="noConversion"/>
  </si>
  <si>
    <t>1392-7</t>
    <phoneticPr fontId="5" type="noConversion"/>
  </si>
  <si>
    <t>전</t>
    <phoneticPr fontId="5" type="noConversion"/>
  </si>
  <si>
    <t>중산동</t>
    <phoneticPr fontId="5" type="noConversion"/>
  </si>
  <si>
    <t>1392-4</t>
    <phoneticPr fontId="5" type="noConversion"/>
  </si>
  <si>
    <t>중소기업은행</t>
    <phoneticPr fontId="5" type="noConversion"/>
  </si>
  <si>
    <t>서울특별시 중구 을지로 79(을지로2가)</t>
    <phoneticPr fontId="5" type="noConversion"/>
  </si>
  <si>
    <t>근저당권</t>
    <phoneticPr fontId="5" type="noConversion"/>
  </si>
  <si>
    <t>중구농업협동조합</t>
    <phoneticPr fontId="5" type="noConversion"/>
  </si>
  <si>
    <t>지목</t>
    <phoneticPr fontId="5" type="noConversion"/>
  </si>
  <si>
    <t>중산동</t>
    <phoneticPr fontId="5" type="noConversion"/>
  </si>
  <si>
    <t>1392-1</t>
    <phoneticPr fontId="5" type="noConversion"/>
  </si>
  <si>
    <t>대</t>
    <phoneticPr fontId="5" type="noConversion"/>
  </si>
  <si>
    <t>대</t>
    <phoneticPr fontId="5" type="noConversion"/>
  </si>
  <si>
    <t>중산동</t>
    <phoneticPr fontId="5" type="noConversion"/>
  </si>
  <si>
    <t>1375-10</t>
    <phoneticPr fontId="5" type="noConversion"/>
  </si>
  <si>
    <t>도</t>
    <phoneticPr fontId="5" type="noConversion"/>
  </si>
  <si>
    <t>차형일</t>
    <phoneticPr fontId="5" type="noConversion"/>
  </si>
  <si>
    <t>서봉춘</t>
    <phoneticPr fontId="5" type="noConversion"/>
  </si>
  <si>
    <t>차석교</t>
    <phoneticPr fontId="5" type="noConversion"/>
  </si>
  <si>
    <t>한국자산관리공사</t>
    <phoneticPr fontId="5" type="noConversion"/>
  </si>
  <si>
    <t>부산광역시 남구 문현금융로 40(문현동) (인천지역본부)</t>
    <phoneticPr fontId="5" type="noConversion"/>
  </si>
  <si>
    <t>인천광역시 중구 운남로 166(운남동) 
(하늘도시지점)</t>
    <phoneticPr fontId="5" type="noConversion"/>
  </si>
  <si>
    <t>토  지  조  서</t>
    <phoneticPr fontId="5" type="noConversion"/>
  </si>
  <si>
    <t>인천광역시 서구 가정로 3** 1**동 1***호
(신현동, 신현 이-편한세상하늘채아파트)</t>
    <phoneticPr fontId="5" type="noConversion"/>
  </si>
  <si>
    <t>김*모</t>
  </si>
  <si>
    <t>김*모</t>
    <phoneticPr fontId="5" type="noConversion"/>
  </si>
  <si>
    <t>김*호</t>
    <phoneticPr fontId="5" type="noConversion"/>
  </si>
  <si>
    <t>김*자</t>
    <phoneticPr fontId="5" type="noConversion"/>
  </si>
  <si>
    <t>오*용</t>
    <phoneticPr fontId="5" type="noConversion"/>
  </si>
  <si>
    <t>영농조합법인삼**산</t>
    <phoneticPr fontId="5" type="noConversion"/>
  </si>
  <si>
    <t>이*우</t>
    <phoneticPr fontId="5" type="noConversion"/>
  </si>
  <si>
    <t>아****코리아주식회사</t>
    <phoneticPr fontId="5" type="noConversion"/>
  </si>
  <si>
    <t>장*선</t>
    <phoneticPr fontId="5" type="noConversion"/>
  </si>
  <si>
    <t>박*일</t>
    <phoneticPr fontId="5" type="noConversion"/>
  </si>
  <si>
    <t>최*숙</t>
    <phoneticPr fontId="5" type="noConversion"/>
  </si>
  <si>
    <t>인천광역시 중구 운남서로 *, 1**동 1**1호(운남동,영종자이아파트)</t>
    <phoneticPr fontId="5" type="noConversion"/>
  </si>
  <si>
    <t>인천광역시 중구 하늘별빛로 **, 
9**동 3***호(중산동,영종힐스테이트)</t>
    <phoneticPr fontId="5" type="noConversion"/>
  </si>
  <si>
    <t>인천광역시 중구 중산동 1***</t>
    <phoneticPr fontId="5" type="noConversion"/>
  </si>
  <si>
    <t>인천광역시 중구 운중로1**번길 **-**
(중산동)</t>
    <phoneticPr fontId="5" type="noConversion"/>
  </si>
  <si>
    <t>인천광역시 중구 운서동 9**</t>
    <phoneticPr fontId="5" type="noConversion"/>
  </si>
  <si>
    <t>인천광역시 중구 마장포로 **-**(중산동)</t>
    <phoneticPr fontId="5" type="noConversion"/>
  </si>
  <si>
    <t>인천광역시 중구 남북동 1**-1</t>
    <phoneticPr fontId="5" type="noConversion"/>
  </si>
  <si>
    <t>강원도 영월군 영월읍 중앙로 2**</t>
    <phoneticPr fontId="5" type="noConversion"/>
  </si>
  <si>
    <t>인천광역시 중구 은골로**번길 * , 2층
(운서동)</t>
    <phoneticPr fontId="5" type="noConversion"/>
  </si>
  <si>
    <t>인천광역시 중구 운남서로 *, 1**동 1***호(운남동,영종자이아파트)</t>
    <phoneticPr fontId="5" type="noConversion"/>
  </si>
  <si>
    <t>인천광역시 중구 중산동 1***-1</t>
    <phoneticPr fontId="5" type="noConversion"/>
  </si>
  <si>
    <t>서울시 성북구 동선동*가 1**-* **빌라 가동 3**호</t>
    <phoneticPr fontId="5" type="noConversion"/>
  </si>
  <si>
    <t>인천광역시 중구 백운로 1** (중산동)</t>
    <phoneticPr fontId="5" type="noConversion"/>
  </si>
  <si>
    <t>인천광역시 중구 운중로 1*-1*, *층(운남동)</t>
    <phoneticPr fontId="5" type="noConversion"/>
  </si>
  <si>
    <t>서울특별시 은평구 은평로**길 **-17, *01호</t>
    <phoneticPr fontId="5" type="noConversion"/>
  </si>
  <si>
    <t>서울특별시 강남구 선릉로***길 **-11, 2**호</t>
    <phoneticPr fontId="5" type="noConversion"/>
  </si>
  <si>
    <t>인천광역시 중구 큰무리로 *-*</t>
    <phoneticPr fontId="5" type="noConversion"/>
  </si>
  <si>
    <t>인천광역시 중구 하늘별빛로 **, 9**동 1***호(중산동, 영종힐스테이트)</t>
    <phoneticPr fontId="5" type="noConversion"/>
  </si>
  <si>
    <t>인천광역시 중구 큰무리로 *-1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</si>
</sst>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#,##0;[Red]#,##0"/>
    <numFmt numFmtId="185" formatCode="????/????"/>
    <numFmt numFmtId="186" formatCode="#,##0.00_ 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name val="Times New Roman"/>
      <family val="1"/>
    </font>
    <font>
      <sz val="9"/>
      <name val="굴림"/>
      <family val="3"/>
      <charset val="129"/>
    </font>
    <font>
      <sz val="9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9"/>
      <name val="돋움"/>
      <family val="3"/>
      <charset val="129"/>
    </font>
    <font>
      <b/>
      <sz val="20"/>
      <name val="굴림체"/>
      <family val="3"/>
      <charset val="129"/>
    </font>
    <font>
      <sz val="7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b/>
      <sz val="8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6"/>
      <name val="굴림체"/>
      <family val="3"/>
      <charset val="129"/>
    </font>
    <font>
      <sz val="9"/>
      <color rgb="FFFF0000"/>
      <name val="굴림체"/>
      <family val="3"/>
      <charset val="129"/>
    </font>
    <font>
      <sz val="8"/>
      <color rgb="FFFF0000"/>
      <name val="굴림체"/>
      <family val="3"/>
      <charset val="129"/>
    </font>
    <font>
      <sz val="6"/>
      <color rgb="FFFF0000"/>
      <name val="굴림체"/>
      <family val="3"/>
      <charset val="129"/>
    </font>
    <font>
      <sz val="9"/>
      <color theme="1"/>
      <name val="굴림체"/>
      <family val="3"/>
      <charset val="129"/>
    </font>
    <font>
      <sz val="7"/>
      <color rgb="FFFF0000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8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1">
    <xf numFmtId="0" fontId="0" fillId="0" borderId="0"/>
    <xf numFmtId="179" fontId="1" fillId="0" borderId="0">
      <protection locked="0"/>
    </xf>
    <xf numFmtId="176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9" fontId="1" fillId="0" borderId="0">
      <protection locked="0"/>
    </xf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3" fillId="0" borderId="0"/>
    <xf numFmtId="179" fontId="1" fillId="0" borderId="0">
      <protection locked="0"/>
    </xf>
    <xf numFmtId="179" fontId="1" fillId="0" borderId="1">
      <protection locked="0"/>
    </xf>
    <xf numFmtId="0" fontId="2" fillId="0" borderId="0"/>
    <xf numFmtId="41" fontId="1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" fillId="0" borderId="0"/>
    <xf numFmtId="0" fontId="4" fillId="0" borderId="0"/>
    <xf numFmtId="0" fontId="4" fillId="0" borderId="0"/>
  </cellStyleXfs>
  <cellXfs count="456">
    <xf numFmtId="0" fontId="0" fillId="0" borderId="0" xfId="0"/>
    <xf numFmtId="0" fontId="11" fillId="0" borderId="0" xfId="20" applyFont="1" applyBorder="1" applyAlignment="1">
      <alignment horizontal="centerContinuous" vertical="center"/>
    </xf>
    <xf numFmtId="0" fontId="11" fillId="0" borderId="0" xfId="20" applyFont="1" applyAlignment="1">
      <alignment horizontal="centerContinuous" vertical="center"/>
    </xf>
    <xf numFmtId="0" fontId="11" fillId="0" borderId="0" xfId="20" applyFont="1" applyAlignment="1">
      <alignment vertical="center"/>
    </xf>
    <xf numFmtId="0" fontId="10" fillId="0" borderId="0" xfId="20" applyFont="1" applyBorder="1" applyAlignment="1">
      <alignment horizontal="distributed"/>
    </xf>
    <xf numFmtId="0" fontId="10" fillId="0" borderId="0" xfId="20" applyFont="1" applyBorder="1"/>
    <xf numFmtId="0" fontId="10" fillId="0" borderId="0" xfId="0" applyFont="1" applyAlignment="1">
      <alignment horizontal="centerContinuous" vertical="center"/>
    </xf>
    <xf numFmtId="0" fontId="10" fillId="0" borderId="0" xfId="20" applyFont="1" applyAlignment="1">
      <alignment horizontal="centerContinuous" vertical="center"/>
    </xf>
    <xf numFmtId="0" fontId="10" fillId="0" borderId="0" xfId="20" applyFont="1" applyBorder="1" applyAlignment="1">
      <alignment horizontal="centerContinuous" vertical="center"/>
    </xf>
    <xf numFmtId="0" fontId="11" fillId="0" borderId="0" xfId="20" applyFont="1"/>
    <xf numFmtId="0" fontId="8" fillId="0" borderId="0" xfId="20" applyFont="1" applyAlignment="1">
      <alignment horizontal="center" vertical="center"/>
    </xf>
    <xf numFmtId="0" fontId="8" fillId="0" borderId="0" xfId="20" applyFont="1"/>
    <xf numFmtId="0" fontId="8" fillId="0" borderId="0" xfId="20" applyFont="1" applyAlignment="1">
      <alignment horizontal="center" vertical="center" wrapText="1"/>
    </xf>
    <xf numFmtId="179" fontId="8" fillId="0" borderId="0" xfId="20" applyNumberFormat="1" applyFont="1" applyAlignment="1">
      <alignment horizontal="center" vertical="center"/>
    </xf>
    <xf numFmtId="0" fontId="11" fillId="0" borderId="0" xfId="20" applyFont="1" applyBorder="1" applyAlignment="1">
      <alignment horizontal="distributed"/>
    </xf>
    <xf numFmtId="0" fontId="11" fillId="0" borderId="0" xfId="20" applyFont="1" applyBorder="1"/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8" fontId="8" fillId="0" borderId="4" xfId="0" applyNumberFormat="1" applyFont="1" applyFill="1" applyBorder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vertical="center"/>
    </xf>
    <xf numFmtId="0" fontId="11" fillId="0" borderId="0" xfId="20" applyFont="1" applyBorder="1" applyAlignment="1" applyProtection="1">
      <alignment horizontal="centerContinuous" vertical="center"/>
    </xf>
    <xf numFmtId="0" fontId="8" fillId="0" borderId="6" xfId="20" applyFont="1" applyBorder="1" applyAlignment="1">
      <alignment horizontal="distributed" vertical="center" wrapText="1"/>
    </xf>
    <xf numFmtId="178" fontId="8" fillId="0" borderId="7" xfId="20" applyNumberFormat="1" applyFont="1" applyBorder="1" applyAlignment="1">
      <alignment horizontal="right" vertical="center"/>
    </xf>
    <xf numFmtId="179" fontId="8" fillId="0" borderId="8" xfId="20" applyNumberFormat="1" applyFont="1" applyBorder="1" applyAlignment="1">
      <alignment horizontal="center" vertical="center"/>
    </xf>
    <xf numFmtId="178" fontId="8" fillId="0" borderId="9" xfId="20" applyNumberFormat="1" applyFont="1" applyBorder="1" applyAlignment="1">
      <alignment horizontal="right" vertical="center"/>
    </xf>
    <xf numFmtId="0" fontId="8" fillId="0" borderId="10" xfId="20" applyFont="1" applyBorder="1" applyAlignment="1">
      <alignment horizontal="distributed" vertical="center" wrapText="1"/>
    </xf>
    <xf numFmtId="178" fontId="8" fillId="0" borderId="11" xfId="20" applyNumberFormat="1" applyFont="1" applyBorder="1" applyAlignment="1">
      <alignment horizontal="right" vertical="center"/>
    </xf>
    <xf numFmtId="179" fontId="8" fillId="0" borderId="12" xfId="20" applyNumberFormat="1" applyFont="1" applyBorder="1" applyAlignment="1">
      <alignment horizontal="center" vertical="center"/>
    </xf>
    <xf numFmtId="178" fontId="8" fillId="0" borderId="13" xfId="20" applyNumberFormat="1" applyFont="1" applyBorder="1" applyAlignment="1">
      <alignment horizontal="right" vertical="center"/>
    </xf>
    <xf numFmtId="0" fontId="8" fillId="0" borderId="10" xfId="20" applyFont="1" applyBorder="1" applyAlignment="1">
      <alignment horizontal="distributed" vertical="distributed" wrapText="1"/>
    </xf>
    <xf numFmtId="0" fontId="8" fillId="0" borderId="14" xfId="20" applyFont="1" applyBorder="1" applyAlignment="1">
      <alignment horizontal="distributed" vertical="center" wrapText="1"/>
    </xf>
    <xf numFmtId="0" fontId="8" fillId="0" borderId="15" xfId="20" applyFont="1" applyBorder="1" applyAlignment="1">
      <alignment horizontal="distributed" vertical="center" wrapText="1"/>
    </xf>
    <xf numFmtId="178" fontId="8" fillId="0" borderId="16" xfId="20" applyNumberFormat="1" applyFont="1" applyBorder="1" applyAlignment="1">
      <alignment horizontal="right" vertical="center"/>
    </xf>
    <xf numFmtId="179" fontId="8" fillId="0" borderId="17" xfId="20" applyNumberFormat="1" applyFont="1" applyBorder="1" applyAlignment="1">
      <alignment horizontal="center" vertical="center"/>
    </xf>
    <xf numFmtId="178" fontId="8" fillId="0" borderId="18" xfId="20" applyNumberFormat="1" applyFont="1" applyBorder="1" applyAlignment="1">
      <alignment horizontal="right" vertical="center"/>
    </xf>
    <xf numFmtId="0" fontId="17" fillId="0" borderId="0" xfId="20" applyFont="1" applyBorder="1" applyAlignment="1">
      <alignment horizontal="centerContinuous" vertical="center"/>
    </xf>
    <xf numFmtId="0" fontId="8" fillId="0" borderId="19" xfId="20" applyFont="1" applyBorder="1" applyAlignment="1">
      <alignment horizontal="distributed" vertical="center" wrapText="1"/>
    </xf>
    <xf numFmtId="0" fontId="8" fillId="0" borderId="20" xfId="20" applyFont="1" applyBorder="1" applyAlignment="1">
      <alignment horizontal="distributed" vertical="center" wrapText="1"/>
    </xf>
    <xf numFmtId="0" fontId="8" fillId="0" borderId="21" xfId="20" applyFont="1" applyBorder="1" applyAlignment="1">
      <alignment horizontal="distributed" vertical="center" wrapText="1"/>
    </xf>
    <xf numFmtId="0" fontId="8" fillId="0" borderId="6" xfId="20" applyFont="1" applyBorder="1" applyAlignment="1">
      <alignment horizontal="center" vertical="center"/>
    </xf>
    <xf numFmtId="0" fontId="8" fillId="0" borderId="10" xfId="20" applyFont="1" applyBorder="1" applyAlignment="1">
      <alignment horizontal="center" vertical="center"/>
    </xf>
    <xf numFmtId="0" fontId="8" fillId="0" borderId="15" xfId="20" applyFont="1" applyBorder="1" applyAlignment="1">
      <alignment horizontal="center" vertical="center"/>
    </xf>
    <xf numFmtId="178" fontId="8" fillId="0" borderId="22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4" fillId="0" borderId="0" xfId="19" applyFont="1" applyFill="1" applyBorder="1" applyAlignment="1" applyProtection="1"/>
    <xf numFmtId="0" fontId="9" fillId="0" borderId="0" xfId="19" applyFont="1" applyFill="1" applyBorder="1" applyProtection="1"/>
    <xf numFmtId="0" fontId="9" fillId="0" borderId="0" xfId="19" applyFont="1" applyFill="1" applyBorder="1" applyAlignment="1" applyProtection="1">
      <alignment horizontal="center" vertical="center"/>
    </xf>
    <xf numFmtId="0" fontId="9" fillId="0" borderId="0" xfId="19" applyFont="1" applyFill="1" applyBorder="1" applyAlignment="1" applyProtection="1">
      <alignment horizontal="centerContinuous"/>
    </xf>
    <xf numFmtId="0" fontId="9" fillId="0" borderId="0" xfId="19" applyFont="1" applyFill="1" applyBorder="1" applyAlignment="1" applyProtection="1">
      <alignment horizontal="center"/>
    </xf>
    <xf numFmtId="0" fontId="9" fillId="0" borderId="0" xfId="19" applyFont="1" applyFill="1"/>
    <xf numFmtId="0" fontId="9" fillId="0" borderId="0" xfId="19" applyFont="1" applyFill="1" applyProtection="1"/>
    <xf numFmtId="0" fontId="12" fillId="0" borderId="0" xfId="19" applyFont="1" applyFill="1" applyBorder="1" applyAlignment="1" applyProtection="1">
      <alignment horizontal="center"/>
    </xf>
    <xf numFmtId="178" fontId="12" fillId="0" borderId="0" xfId="19" applyNumberFormat="1" applyFont="1" applyFill="1" applyBorder="1" applyAlignment="1" applyProtection="1">
      <alignment horizontal="center" vertical="center" wrapText="1"/>
    </xf>
    <xf numFmtId="0" fontId="12" fillId="0" borderId="0" xfId="19" applyFont="1" applyFill="1"/>
    <xf numFmtId="0" fontId="12" fillId="0" borderId="0" xfId="19" applyFont="1" applyFill="1" applyBorder="1" applyAlignment="1" applyProtection="1">
      <alignment horizontal="center" vertical="top"/>
    </xf>
    <xf numFmtId="178" fontId="12" fillId="0" borderId="0" xfId="19" applyNumberFormat="1" applyFont="1" applyFill="1" applyBorder="1" applyAlignment="1" applyProtection="1">
      <alignment horizontal="center" vertical="center"/>
    </xf>
    <xf numFmtId="0" fontId="12" fillId="0" borderId="0" xfId="19" applyFont="1" applyFill="1" applyBorder="1" applyProtection="1"/>
    <xf numFmtId="0" fontId="8" fillId="0" borderId="23" xfId="0" applyFont="1" applyFill="1" applyBorder="1" applyAlignment="1" applyProtection="1">
      <alignment horizontal="center" vertical="center" wrapText="1"/>
    </xf>
    <xf numFmtId="178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8" fontId="13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13" fillId="0" borderId="0" xfId="19" applyNumberFormat="1" applyFont="1" applyFill="1" applyBorder="1" applyAlignment="1" applyProtection="1">
      <alignment horizontal="center" vertical="center" wrapText="1"/>
    </xf>
    <xf numFmtId="0" fontId="13" fillId="0" borderId="0" xfId="19" applyFont="1" applyFill="1"/>
    <xf numFmtId="0" fontId="8" fillId="0" borderId="24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  <xf numFmtId="178" fontId="8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5" xfId="19" applyNumberFormat="1" applyFont="1" applyFill="1" applyBorder="1" applyAlignment="1" applyProtection="1">
      <alignment horizontal="centerContinuous" vertical="center" wrapText="1"/>
    </xf>
    <xf numFmtId="0" fontId="15" fillId="0" borderId="26" xfId="19" applyNumberFormat="1" applyFont="1" applyFill="1" applyBorder="1" applyAlignment="1" applyProtection="1">
      <alignment horizontal="centerContinuous" vertical="center" wrapText="1"/>
    </xf>
    <xf numFmtId="0" fontId="9" fillId="0" borderId="27" xfId="19" applyNumberFormat="1" applyFont="1" applyFill="1" applyBorder="1" applyAlignment="1" applyProtection="1">
      <alignment horizontal="centerContinuous" vertical="center" wrapText="1"/>
    </xf>
    <xf numFmtId="178" fontId="9" fillId="0" borderId="27" xfId="19" applyNumberFormat="1" applyFont="1" applyFill="1" applyBorder="1" applyAlignment="1" applyProtection="1">
      <alignment horizontal="right" vertical="center"/>
    </xf>
    <xf numFmtId="0" fontId="9" fillId="0" borderId="27" xfId="19" applyNumberFormat="1" applyFont="1" applyFill="1" applyBorder="1" applyAlignment="1" applyProtection="1">
      <alignment horizontal="center" vertical="center" wrapText="1"/>
    </xf>
    <xf numFmtId="0" fontId="9" fillId="0" borderId="28" xfId="19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19" applyFont="1" applyFill="1" applyBorder="1"/>
    <xf numFmtId="0" fontId="13" fillId="0" borderId="29" xfId="19" applyFont="1" applyFill="1" applyBorder="1"/>
    <xf numFmtId="0" fontId="9" fillId="0" borderId="0" xfId="19" applyFont="1" applyFill="1" applyAlignment="1">
      <alignment horizontal="center" vertical="center"/>
    </xf>
    <xf numFmtId="0" fontId="9" fillId="0" borderId="0" xfId="19" applyFont="1" applyFill="1" applyBorder="1"/>
    <xf numFmtId="178" fontId="8" fillId="0" borderId="4" xfId="0" quotePrefix="1" applyNumberFormat="1" applyFont="1" applyFill="1" applyBorder="1" applyAlignment="1">
      <alignment horizontal="center" vertical="center"/>
    </xf>
    <xf numFmtId="0" fontId="8" fillId="0" borderId="30" xfId="0" applyFont="1" applyFill="1" applyBorder="1" applyAlignment="1" applyProtection="1">
      <alignment horizontal="center" vertical="center" wrapText="1"/>
    </xf>
    <xf numFmtId="0" fontId="8" fillId="0" borderId="22" xfId="0" applyFont="1" applyFill="1" applyBorder="1" applyAlignment="1" applyProtection="1">
      <alignment horizontal="center" vertical="center" wrapText="1"/>
    </xf>
    <xf numFmtId="178" fontId="8" fillId="0" borderId="22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5" xfId="0" applyNumberFormat="1" applyFont="1" applyBorder="1" applyAlignment="1" applyProtection="1">
      <alignment horizontal="center" vertical="center" wrapText="1"/>
      <protection locked="0"/>
    </xf>
    <xf numFmtId="178" fontId="8" fillId="0" borderId="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quotePrefix="1" applyNumberFormat="1" applyFont="1" applyFill="1" applyBorder="1" applyAlignment="1">
      <alignment horizontal="center" vertical="center"/>
    </xf>
    <xf numFmtId="49" fontId="8" fillId="0" borderId="4" xfId="0" quotePrefix="1" applyNumberFormat="1" applyFont="1" applyFill="1" applyBorder="1" applyAlignment="1">
      <alignment horizontal="center" vertical="center"/>
    </xf>
    <xf numFmtId="0" fontId="8" fillId="0" borderId="4" xfId="0" quotePrefix="1" applyNumberFormat="1" applyFont="1" applyFill="1" applyBorder="1" applyAlignment="1">
      <alignment horizontal="center" vertical="center"/>
    </xf>
    <xf numFmtId="178" fontId="8" fillId="0" borderId="4" xfId="0" quotePrefix="1" applyNumberFormat="1" applyFont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0" fontId="8" fillId="0" borderId="23" xfId="0" applyFont="1" applyBorder="1" applyAlignment="1" applyProtection="1">
      <alignment horizontal="center" vertical="center" wrapText="1"/>
    </xf>
    <xf numFmtId="0" fontId="8" fillId="0" borderId="24" xfId="0" applyFont="1" applyBorder="1" applyAlignment="1" applyProtection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 applyProtection="1">
      <alignment horizontal="center" vertical="center" wrapText="1"/>
    </xf>
    <xf numFmtId="178" fontId="8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/>
    </xf>
    <xf numFmtId="49" fontId="8" fillId="0" borderId="33" xfId="0" applyNumberFormat="1" applyFont="1" applyFill="1" applyBorder="1" applyAlignment="1">
      <alignment horizontal="center" vertical="center"/>
    </xf>
    <xf numFmtId="0" fontId="9" fillId="0" borderId="35" xfId="19" applyFont="1" applyFill="1" applyBorder="1" applyAlignment="1" applyProtection="1">
      <alignment horizontal="center" vertical="center" wrapText="1"/>
    </xf>
    <xf numFmtId="0" fontId="9" fillId="0" borderId="36" xfId="19" applyFont="1" applyFill="1" applyBorder="1" applyAlignment="1" applyProtection="1">
      <alignment horizontal="center" vertical="top" wrapText="1"/>
    </xf>
    <xf numFmtId="49" fontId="9" fillId="0" borderId="37" xfId="19" applyNumberFormat="1" applyFont="1" applyFill="1" applyBorder="1" applyAlignment="1" applyProtection="1">
      <alignment horizontal="center" vertical="center" wrapText="1"/>
    </xf>
    <xf numFmtId="49" fontId="9" fillId="0" borderId="22" xfId="19" applyNumberFormat="1" applyFont="1" applyFill="1" applyBorder="1" applyAlignment="1" applyProtection="1">
      <alignment horizontal="center" vertical="center" wrapText="1"/>
    </xf>
    <xf numFmtId="0" fontId="9" fillId="0" borderId="22" xfId="19" applyFont="1" applyFill="1" applyBorder="1" applyAlignment="1" applyProtection="1">
      <alignment vertical="center" wrapText="1"/>
    </xf>
    <xf numFmtId="184" fontId="9" fillId="0" borderId="38" xfId="19" applyNumberFormat="1" applyFont="1" applyFill="1" applyBorder="1" applyAlignment="1" applyProtection="1">
      <alignment horizontal="center" vertical="center"/>
    </xf>
    <xf numFmtId="0" fontId="9" fillId="0" borderId="22" xfId="19" applyFont="1" applyFill="1" applyBorder="1" applyAlignment="1" applyProtection="1">
      <alignment horizontal="center" vertical="center"/>
    </xf>
    <xf numFmtId="0" fontId="9" fillId="0" borderId="22" xfId="19" applyFont="1" applyFill="1" applyBorder="1" applyAlignment="1" applyProtection="1">
      <alignment horizontal="center" vertical="center" wrapText="1"/>
    </xf>
    <xf numFmtId="0" fontId="8" fillId="0" borderId="39" xfId="2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Continuous"/>
    </xf>
    <xf numFmtId="0" fontId="9" fillId="0" borderId="40" xfId="19" applyFont="1" applyFill="1" applyBorder="1" applyAlignment="1" applyProtection="1">
      <alignment horizontal="center" vertical="center" wrapText="1"/>
    </xf>
    <xf numFmtId="0" fontId="9" fillId="0" borderId="41" xfId="19" applyFont="1" applyFill="1" applyBorder="1" applyAlignment="1" applyProtection="1">
      <alignment horizontal="center" vertical="top" wrapText="1"/>
    </xf>
    <xf numFmtId="0" fontId="9" fillId="0" borderId="39" xfId="19" applyFont="1" applyFill="1" applyBorder="1" applyAlignment="1" applyProtection="1">
      <alignment horizontal="center" vertical="center" wrapText="1"/>
    </xf>
    <xf numFmtId="0" fontId="9" fillId="0" borderId="39" xfId="19" applyFont="1" applyFill="1" applyBorder="1" applyAlignment="1" applyProtection="1">
      <alignment horizontal="center" vertical="center"/>
    </xf>
    <xf numFmtId="0" fontId="8" fillId="0" borderId="39" xfId="0" applyFont="1" applyFill="1" applyBorder="1" applyAlignment="1" applyProtection="1">
      <alignment horizontal="center" vertical="center" wrapText="1"/>
    </xf>
    <xf numFmtId="178" fontId="8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39" xfId="0" applyNumberFormat="1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/>
    </xf>
    <xf numFmtId="178" fontId="8" fillId="0" borderId="39" xfId="0" quotePrefix="1" applyNumberFormat="1" applyFont="1" applyFill="1" applyBorder="1" applyAlignment="1">
      <alignment horizontal="center" vertical="center"/>
    </xf>
    <xf numFmtId="0" fontId="15" fillId="0" borderId="39" xfId="19" applyNumberFormat="1" applyFont="1" applyFill="1" applyBorder="1" applyAlignment="1" applyProtection="1">
      <alignment horizontal="centerContinuous" vertical="center" wrapText="1"/>
    </xf>
    <xf numFmtId="0" fontId="9" fillId="0" borderId="39" xfId="19" applyNumberFormat="1" applyFont="1" applyFill="1" applyBorder="1" applyAlignment="1" applyProtection="1">
      <alignment horizontal="centerContinuous" vertical="center" wrapText="1"/>
    </xf>
    <xf numFmtId="178" fontId="9" fillId="0" borderId="39" xfId="19" applyNumberFormat="1" applyFont="1" applyFill="1" applyBorder="1" applyAlignment="1" applyProtection="1">
      <alignment horizontal="right" vertical="center"/>
    </xf>
    <xf numFmtId="0" fontId="9" fillId="0" borderId="39" xfId="19" applyNumberFormat="1" applyFont="1" applyFill="1" applyBorder="1" applyAlignment="1" applyProtection="1">
      <alignment horizontal="center" vertical="center" wrapText="1"/>
    </xf>
    <xf numFmtId="0" fontId="9" fillId="0" borderId="39" xfId="19" applyNumberFormat="1" applyFont="1" applyFill="1" applyBorder="1" applyAlignment="1" applyProtection="1">
      <alignment horizontal="center" vertical="center" wrapText="1"/>
      <protection locked="0"/>
    </xf>
    <xf numFmtId="49" fontId="8" fillId="0" borderId="39" xfId="0" applyNumberFormat="1" applyFont="1" applyFill="1" applyBorder="1" applyAlignment="1">
      <alignment horizontal="center" vertical="center"/>
    </xf>
    <xf numFmtId="0" fontId="18" fillId="0" borderId="39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8" fillId="0" borderId="39" xfId="20" applyFont="1" applyBorder="1" applyAlignment="1">
      <alignment horizontal="distributed" vertical="center" wrapText="1"/>
    </xf>
    <xf numFmtId="178" fontId="8" fillId="0" borderId="21" xfId="20" applyNumberFormat="1" applyFont="1" applyBorder="1" applyAlignment="1">
      <alignment horizontal="right" vertical="center"/>
    </xf>
    <xf numFmtId="179" fontId="8" fillId="0" borderId="29" xfId="20" applyNumberFormat="1" applyFont="1" applyBorder="1" applyAlignment="1">
      <alignment horizontal="center" vertical="center"/>
    </xf>
    <xf numFmtId="178" fontId="8" fillId="0" borderId="42" xfId="20" applyNumberFormat="1" applyFont="1" applyBorder="1" applyAlignment="1">
      <alignment horizontal="right" vertical="center"/>
    </xf>
    <xf numFmtId="0" fontId="8" fillId="0" borderId="39" xfId="20" applyFont="1" applyBorder="1" applyAlignment="1">
      <alignment horizontal="distributed" vertical="distributed" wrapText="1"/>
    </xf>
    <xf numFmtId="49" fontId="8" fillId="0" borderId="39" xfId="0" applyNumberFormat="1" applyFont="1" applyFill="1" applyBorder="1" applyAlignment="1" applyProtection="1">
      <alignment horizontal="center" vertical="center" wrapText="1"/>
    </xf>
    <xf numFmtId="178" fontId="13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13" fillId="2" borderId="0" xfId="19" applyNumberFormat="1" applyFont="1" applyFill="1" applyBorder="1" applyAlignment="1" applyProtection="1">
      <alignment horizontal="center" vertical="center" wrapText="1"/>
    </xf>
    <xf numFmtId="0" fontId="13" fillId="2" borderId="0" xfId="19" applyFont="1" applyFill="1"/>
    <xf numFmtId="0" fontId="9" fillId="0" borderId="0" xfId="19" applyFont="1" applyFill="1" applyBorder="1" applyAlignment="1" applyProtection="1">
      <alignment horizontal="right"/>
    </xf>
    <xf numFmtId="178" fontId="8" fillId="0" borderId="39" xfId="0" applyNumberFormat="1" applyFont="1" applyFill="1" applyBorder="1" applyAlignment="1" applyProtection="1">
      <alignment horizontal="center" vertical="center"/>
      <protection locked="0"/>
    </xf>
    <xf numFmtId="0" fontId="16" fillId="0" borderId="39" xfId="0" applyFont="1" applyFill="1" applyBorder="1" applyAlignment="1">
      <alignment horizontal="center" vertical="center"/>
    </xf>
    <xf numFmtId="178" fontId="13" fillId="0" borderId="0" xfId="19" applyNumberFormat="1" applyFont="1" applyFill="1" applyBorder="1"/>
    <xf numFmtId="178" fontId="19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19" fillId="0" borderId="0" xfId="19" applyNumberFormat="1" applyFont="1" applyFill="1" applyBorder="1" applyAlignment="1" applyProtection="1">
      <alignment horizontal="center" vertical="center" wrapText="1"/>
    </xf>
    <xf numFmtId="0" fontId="19" fillId="0" borderId="0" xfId="19" applyFont="1" applyFill="1"/>
    <xf numFmtId="0" fontId="8" fillId="0" borderId="39" xfId="19" applyNumberFormat="1" applyFont="1" applyFill="1" applyBorder="1" applyAlignment="1" applyProtection="1">
      <alignment horizontal="center" vertical="center" wrapText="1"/>
    </xf>
    <xf numFmtId="178" fontId="21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21" fillId="2" borderId="0" xfId="19" applyNumberFormat="1" applyFont="1" applyFill="1" applyBorder="1" applyAlignment="1" applyProtection="1">
      <alignment horizontal="center" vertical="center" wrapText="1"/>
    </xf>
    <xf numFmtId="0" fontId="21" fillId="2" borderId="0" xfId="19" applyFont="1" applyFill="1"/>
    <xf numFmtId="0" fontId="20" fillId="0" borderId="39" xfId="0" applyFont="1" applyFill="1" applyBorder="1" applyAlignment="1">
      <alignment horizontal="center" vertical="center" wrapText="1"/>
    </xf>
    <xf numFmtId="178" fontId="8" fillId="0" borderId="39" xfId="0" applyNumberFormat="1" applyFont="1" applyFill="1" applyBorder="1" applyAlignment="1">
      <alignment horizontal="center" vertical="center" wrapText="1"/>
    </xf>
    <xf numFmtId="0" fontId="24" fillId="2" borderId="39" xfId="0" applyFont="1" applyFill="1" applyBorder="1" applyAlignment="1" applyProtection="1">
      <alignment horizontal="center" vertical="center" wrapText="1"/>
    </xf>
    <xf numFmtId="49" fontId="24" fillId="2" borderId="39" xfId="0" applyNumberFormat="1" applyFont="1" applyFill="1" applyBorder="1" applyAlignment="1">
      <alignment horizontal="center" vertical="center"/>
    </xf>
    <xf numFmtId="178" fontId="24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>
      <alignment horizontal="center" vertical="center" wrapText="1"/>
    </xf>
    <xf numFmtId="0" fontId="24" fillId="2" borderId="39" xfId="0" applyFont="1" applyFill="1" applyBorder="1" applyAlignment="1">
      <alignment horizontal="center" vertical="center"/>
    </xf>
    <xf numFmtId="178" fontId="25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25" fillId="2" borderId="0" xfId="19" applyNumberFormat="1" applyFont="1" applyFill="1" applyBorder="1" applyAlignment="1" applyProtection="1">
      <alignment horizontal="center" vertical="center" wrapText="1"/>
    </xf>
    <xf numFmtId="0" fontId="25" fillId="2" borderId="0" xfId="19" applyFont="1" applyFill="1"/>
    <xf numFmtId="0" fontId="25" fillId="2" borderId="39" xfId="0" applyFont="1" applyFill="1" applyBorder="1" applyAlignment="1">
      <alignment horizontal="center" vertical="center" wrapText="1"/>
    </xf>
    <xf numFmtId="49" fontId="24" fillId="2" borderId="39" xfId="0" applyNumberFormat="1" applyFont="1" applyFill="1" applyBorder="1" applyAlignment="1" applyProtection="1">
      <alignment horizontal="center" vertical="center" wrapText="1"/>
    </xf>
    <xf numFmtId="178" fontId="26" fillId="2" borderId="39" xfId="0" applyNumberFormat="1" applyFont="1" applyFill="1" applyBorder="1" applyAlignment="1" applyProtection="1">
      <alignment horizontal="center" vertical="center" wrapText="1"/>
      <protection locked="0"/>
    </xf>
    <xf numFmtId="178" fontId="24" fillId="2" borderId="39" xfId="0" applyNumberFormat="1" applyFont="1" applyFill="1" applyBorder="1" applyAlignment="1">
      <alignment horizontal="center" vertical="center"/>
    </xf>
    <xf numFmtId="178" fontId="24" fillId="2" borderId="39" xfId="0" applyNumberFormat="1" applyFont="1" applyFill="1" applyBorder="1" applyAlignment="1" applyProtection="1">
      <alignment horizontal="center" vertical="center"/>
      <protection locked="0"/>
    </xf>
    <xf numFmtId="0" fontId="8" fillId="0" borderId="43" xfId="0" applyFont="1" applyFill="1" applyBorder="1" applyAlignment="1" applyProtection="1">
      <alignment horizontal="center" vertical="center" wrapText="1"/>
    </xf>
    <xf numFmtId="0" fontId="8" fillId="0" borderId="44" xfId="0" applyFont="1" applyFill="1" applyBorder="1" applyAlignment="1" applyProtection="1">
      <alignment horizontal="center" vertical="center" wrapText="1"/>
    </xf>
    <xf numFmtId="0" fontId="8" fillId="0" borderId="45" xfId="0" applyFont="1" applyFill="1" applyBorder="1" applyAlignment="1" applyProtection="1">
      <alignment horizontal="center" vertical="center" wrapText="1"/>
    </xf>
    <xf numFmtId="0" fontId="8" fillId="0" borderId="46" xfId="0" applyFont="1" applyFill="1" applyBorder="1" applyAlignment="1" applyProtection="1">
      <alignment horizontal="center" vertical="center" wrapText="1"/>
    </xf>
    <xf numFmtId="0" fontId="12" fillId="0" borderId="0" xfId="19" applyFont="1" applyFill="1" applyBorder="1" applyAlignment="1" applyProtection="1">
      <alignment horizontal="right"/>
    </xf>
    <xf numFmtId="0" fontId="8" fillId="0" borderId="47" xfId="0" applyFont="1" applyFill="1" applyBorder="1" applyAlignment="1" applyProtection="1">
      <alignment horizontal="center" vertical="center" wrapText="1"/>
    </xf>
    <xf numFmtId="0" fontId="24" fillId="2" borderId="43" xfId="0" applyFont="1" applyFill="1" applyBorder="1" applyAlignment="1" applyProtection="1">
      <alignment horizontal="center" vertical="center" wrapText="1"/>
    </xf>
    <xf numFmtId="0" fontId="8" fillId="2" borderId="39" xfId="0" applyFont="1" applyFill="1" applyBorder="1" applyAlignment="1" applyProtection="1">
      <alignment horizontal="center" vertical="center" wrapText="1"/>
    </xf>
    <xf numFmtId="0" fontId="24" fillId="0" borderId="39" xfId="0" applyFont="1" applyFill="1" applyBorder="1" applyAlignment="1" applyProtection="1">
      <alignment horizontal="center" vertical="center" wrapText="1"/>
    </xf>
    <xf numFmtId="49" fontId="24" fillId="0" borderId="39" xfId="0" applyNumberFormat="1" applyFont="1" applyFill="1" applyBorder="1" applyAlignment="1">
      <alignment horizontal="center" vertical="center"/>
    </xf>
    <xf numFmtId="178" fontId="24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24" fillId="0" borderId="39" xfId="0" applyNumberFormat="1" applyFont="1" applyFill="1" applyBorder="1" applyAlignment="1">
      <alignment horizontal="center" vertical="center"/>
    </xf>
    <xf numFmtId="0" fontId="24" fillId="0" borderId="39" xfId="0" applyFont="1" applyFill="1" applyBorder="1" applyAlignment="1">
      <alignment horizontal="center" vertical="center" wrapText="1"/>
    </xf>
    <xf numFmtId="0" fontId="24" fillId="0" borderId="39" xfId="0" applyFont="1" applyFill="1" applyBorder="1" applyAlignment="1">
      <alignment horizontal="center" vertical="center"/>
    </xf>
    <xf numFmtId="178" fontId="25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25" fillId="0" borderId="0" xfId="19" applyNumberFormat="1" applyFont="1" applyFill="1" applyBorder="1" applyAlignment="1" applyProtection="1">
      <alignment horizontal="center" vertical="center" wrapText="1"/>
    </xf>
    <xf numFmtId="0" fontId="25" fillId="0" borderId="0" xfId="19" applyFont="1" applyFill="1"/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22" fillId="0" borderId="0" xfId="19" applyFont="1" applyFill="1" applyBorder="1" applyAlignment="1" applyProtection="1"/>
    <xf numFmtId="0" fontId="8" fillId="0" borderId="0" xfId="19" applyFont="1" applyFill="1" applyBorder="1" applyProtection="1"/>
    <xf numFmtId="0" fontId="8" fillId="0" borderId="0" xfId="19" applyFont="1" applyFill="1" applyBorder="1" applyAlignment="1" applyProtection="1">
      <alignment horizontal="center" vertical="center"/>
    </xf>
    <xf numFmtId="0" fontId="8" fillId="0" borderId="0" xfId="19" applyFont="1" applyFill="1"/>
    <xf numFmtId="0" fontId="11" fillId="0" borderId="0" xfId="0" applyFont="1" applyFill="1" applyBorder="1" applyAlignment="1">
      <alignment horizontal="center"/>
    </xf>
    <xf numFmtId="0" fontId="8" fillId="0" borderId="0" xfId="19" applyFont="1" applyFill="1" applyBorder="1" applyAlignment="1" applyProtection="1">
      <alignment horizontal="center"/>
    </xf>
    <xf numFmtId="0" fontId="11" fillId="0" borderId="0" xfId="19" applyFont="1" applyFill="1" applyBorder="1" applyAlignment="1" applyProtection="1">
      <alignment horizontal="right"/>
    </xf>
    <xf numFmtId="0" fontId="8" fillId="0" borderId="0" xfId="19" applyFont="1" applyFill="1" applyBorder="1" applyAlignment="1" applyProtection="1">
      <alignment horizontal="right"/>
    </xf>
    <xf numFmtId="0" fontId="8" fillId="0" borderId="0" xfId="19" applyFont="1" applyFill="1" applyProtection="1"/>
    <xf numFmtId="0" fontId="8" fillId="0" borderId="40" xfId="19" applyFont="1" applyFill="1" applyBorder="1" applyAlignment="1" applyProtection="1">
      <alignment horizontal="center" vertical="center" wrapText="1"/>
    </xf>
    <xf numFmtId="0" fontId="11" fillId="0" borderId="0" xfId="19" applyFont="1" applyFill="1" applyBorder="1" applyAlignment="1" applyProtection="1">
      <alignment horizontal="center"/>
    </xf>
    <xf numFmtId="178" fontId="11" fillId="0" borderId="0" xfId="19" applyNumberFormat="1" applyFont="1" applyFill="1" applyBorder="1" applyAlignment="1" applyProtection="1">
      <alignment horizontal="center" vertical="center" wrapText="1"/>
    </xf>
    <xf numFmtId="0" fontId="11" fillId="0" borderId="0" xfId="19" applyFont="1" applyFill="1"/>
    <xf numFmtId="0" fontId="8" fillId="0" borderId="41" xfId="19" applyFont="1" applyFill="1" applyBorder="1" applyAlignment="1" applyProtection="1">
      <alignment horizontal="center" vertical="top" wrapText="1"/>
    </xf>
    <xf numFmtId="0" fontId="8" fillId="0" borderId="39" xfId="19" applyFont="1" applyFill="1" applyBorder="1" applyAlignment="1" applyProtection="1">
      <alignment horizontal="center" vertical="center"/>
    </xf>
    <xf numFmtId="0" fontId="8" fillId="0" borderId="39" xfId="19" applyFont="1" applyFill="1" applyBorder="1" applyAlignment="1" applyProtection="1">
      <alignment horizontal="center" vertical="center" wrapText="1"/>
    </xf>
    <xf numFmtId="0" fontId="11" fillId="0" borderId="0" xfId="19" applyFont="1" applyFill="1" applyBorder="1" applyAlignment="1" applyProtection="1">
      <alignment horizontal="center" vertical="top"/>
    </xf>
    <xf numFmtId="178" fontId="11" fillId="0" borderId="0" xfId="19" applyNumberFormat="1" applyFont="1" applyFill="1" applyBorder="1" applyAlignment="1" applyProtection="1">
      <alignment horizontal="center" vertical="center"/>
    </xf>
    <xf numFmtId="0" fontId="11" fillId="0" borderId="0" xfId="19" applyFont="1" applyFill="1" applyBorder="1" applyProtection="1"/>
    <xf numFmtId="49" fontId="8" fillId="2" borderId="39" xfId="0" applyNumberFormat="1" applyFont="1" applyFill="1" applyBorder="1" applyAlignment="1">
      <alignment horizontal="center" vertical="center"/>
    </xf>
    <xf numFmtId="178" fontId="8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9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/>
    </xf>
    <xf numFmtId="178" fontId="19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19" fillId="2" borderId="0" xfId="19" applyNumberFormat="1" applyFont="1" applyFill="1" applyBorder="1" applyAlignment="1" applyProtection="1">
      <alignment horizontal="center" vertical="center" wrapText="1"/>
    </xf>
    <xf numFmtId="0" fontId="19" fillId="2" borderId="0" xfId="19" applyFont="1" applyFill="1"/>
    <xf numFmtId="0" fontId="19" fillId="2" borderId="39" xfId="0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 applyProtection="1">
      <alignment horizontal="center" vertical="center" wrapText="1"/>
    </xf>
    <xf numFmtId="0" fontId="20" fillId="0" borderId="39" xfId="19" applyNumberFormat="1" applyFont="1" applyFill="1" applyBorder="1" applyAlignment="1" applyProtection="1">
      <alignment horizontal="center" vertical="center" wrapText="1"/>
    </xf>
    <xf numFmtId="178" fontId="8" fillId="0" borderId="39" xfId="19" applyNumberFormat="1" applyFont="1" applyFill="1" applyBorder="1" applyAlignment="1" applyProtection="1">
      <alignment horizontal="right" vertical="center"/>
    </xf>
    <xf numFmtId="0" fontId="8" fillId="0" borderId="39" xfId="19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19" applyFont="1" applyFill="1" applyBorder="1"/>
    <xf numFmtId="0" fontId="19" fillId="0" borderId="29" xfId="19" applyFont="1" applyFill="1" applyBorder="1"/>
    <xf numFmtId="0" fontId="20" fillId="0" borderId="25" xfId="19" applyNumberFormat="1" applyFont="1" applyFill="1" applyBorder="1" applyAlignment="1" applyProtection="1">
      <alignment horizontal="center" vertical="center" wrapText="1"/>
    </xf>
    <xf numFmtId="0" fontId="20" fillId="0" borderId="26" xfId="19" applyNumberFormat="1" applyFont="1" applyFill="1" applyBorder="1" applyAlignment="1" applyProtection="1">
      <alignment horizontal="center" vertical="center" wrapText="1"/>
    </xf>
    <xf numFmtId="0" fontId="8" fillId="0" borderId="27" xfId="19" applyNumberFormat="1" applyFont="1" applyFill="1" applyBorder="1" applyAlignment="1" applyProtection="1">
      <alignment horizontal="center" vertical="center" wrapText="1"/>
    </xf>
    <xf numFmtId="178" fontId="8" fillId="0" borderId="27" xfId="19" applyNumberFormat="1" applyFont="1" applyFill="1" applyBorder="1" applyAlignment="1" applyProtection="1">
      <alignment horizontal="right" vertical="center"/>
    </xf>
    <xf numFmtId="0" fontId="8" fillId="0" borderId="28" xfId="19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19" applyFont="1" applyFill="1" applyAlignment="1">
      <alignment horizontal="center" vertical="center"/>
    </xf>
    <xf numFmtId="0" fontId="8" fillId="0" borderId="0" xfId="19" applyFont="1" applyFill="1" applyBorder="1"/>
    <xf numFmtId="178" fontId="24" fillId="0" borderId="39" xfId="0" applyNumberFormat="1" applyFont="1" applyFill="1" applyBorder="1" applyAlignment="1">
      <alignment horizontal="center" vertical="center" wrapText="1"/>
    </xf>
    <xf numFmtId="49" fontId="24" fillId="0" borderId="39" xfId="0" applyNumberFormat="1" applyFont="1" applyFill="1" applyBorder="1" applyAlignment="1" applyProtection="1">
      <alignment horizontal="center" vertical="center" wrapText="1"/>
    </xf>
    <xf numFmtId="49" fontId="27" fillId="0" borderId="39" xfId="0" applyNumberFormat="1" applyFont="1" applyFill="1" applyBorder="1" applyAlignment="1" applyProtection="1">
      <alignment horizontal="center" vertical="center" wrapText="1"/>
    </xf>
    <xf numFmtId="178" fontId="27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39" xfId="0" applyFont="1" applyFill="1" applyBorder="1" applyAlignment="1" applyProtection="1">
      <alignment horizontal="center" vertical="center" wrapText="1"/>
    </xf>
    <xf numFmtId="178" fontId="28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39" xfId="0" applyFont="1" applyFill="1" applyBorder="1" applyAlignment="1">
      <alignment horizontal="center" vertical="center"/>
    </xf>
    <xf numFmtId="178" fontId="25" fillId="2" borderId="19" xfId="19" applyNumberFormat="1" applyFont="1" applyFill="1" applyBorder="1" applyAlignment="1" applyProtection="1">
      <alignment horizontal="center" vertical="center" wrapText="1"/>
      <protection locked="0"/>
    </xf>
    <xf numFmtId="178" fontId="25" fillId="2" borderId="19" xfId="19" applyNumberFormat="1" applyFont="1" applyFill="1" applyBorder="1" applyAlignment="1" applyProtection="1">
      <alignment horizontal="center" vertical="center" wrapText="1"/>
    </xf>
    <xf numFmtId="0" fontId="25" fillId="2" borderId="19" xfId="19" applyFont="1" applyFill="1" applyBorder="1"/>
    <xf numFmtId="178" fontId="18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39" xfId="0" applyFont="1" applyFill="1" applyBorder="1" applyAlignment="1">
      <alignment horizontal="center" vertical="center"/>
    </xf>
    <xf numFmtId="178" fontId="19" fillId="0" borderId="29" xfId="19" applyNumberFormat="1" applyFont="1" applyFill="1" applyBorder="1" applyAlignment="1" applyProtection="1">
      <alignment horizontal="center" vertical="center" wrapText="1"/>
      <protection locked="0"/>
    </xf>
    <xf numFmtId="178" fontId="19" fillId="0" borderId="29" xfId="19" applyNumberFormat="1" applyFont="1" applyFill="1" applyBorder="1" applyAlignment="1" applyProtection="1">
      <alignment horizontal="center" vertical="center" wrapText="1"/>
    </xf>
    <xf numFmtId="0" fontId="19" fillId="2" borderId="39" xfId="0" applyFont="1" applyFill="1" applyBorder="1" applyAlignment="1">
      <alignment horizontal="center" vertical="center"/>
    </xf>
    <xf numFmtId="178" fontId="19" fillId="2" borderId="8" xfId="19" applyNumberFormat="1" applyFont="1" applyFill="1" applyBorder="1" applyAlignment="1" applyProtection="1">
      <alignment horizontal="center" vertical="center" wrapText="1"/>
      <protection locked="0"/>
    </xf>
    <xf numFmtId="178" fontId="19" fillId="2" borderId="8" xfId="19" applyNumberFormat="1" applyFont="1" applyFill="1" applyBorder="1" applyAlignment="1" applyProtection="1">
      <alignment horizontal="center" vertical="center" wrapText="1"/>
    </xf>
    <xf numFmtId="0" fontId="19" fillId="2" borderId="8" xfId="19" applyFont="1" applyFill="1" applyBorder="1"/>
    <xf numFmtId="0" fontId="27" fillId="0" borderId="39" xfId="0" applyFont="1" applyFill="1" applyBorder="1" applyAlignment="1" applyProtection="1">
      <alignment horizontal="center" vertical="center" wrapText="1"/>
    </xf>
    <xf numFmtId="49" fontId="27" fillId="0" borderId="39" xfId="0" applyNumberFormat="1" applyFont="1" applyFill="1" applyBorder="1" applyAlignment="1">
      <alignment horizontal="center" vertical="center"/>
    </xf>
    <xf numFmtId="178" fontId="27" fillId="0" borderId="39" xfId="0" applyNumberFormat="1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178" fontId="29" fillId="0" borderId="0" xfId="19" applyNumberFormat="1" applyFont="1" applyFill="1" applyBorder="1" applyAlignment="1" applyProtection="1">
      <alignment horizontal="center" vertical="center" wrapText="1"/>
      <protection locked="0"/>
    </xf>
    <xf numFmtId="178" fontId="29" fillId="0" borderId="0" xfId="19" applyNumberFormat="1" applyFont="1" applyFill="1" applyBorder="1" applyAlignment="1" applyProtection="1">
      <alignment horizontal="center" vertical="center" wrapText="1"/>
    </xf>
    <xf numFmtId="0" fontId="29" fillId="0" borderId="0" xfId="19" applyFont="1" applyFill="1"/>
    <xf numFmtId="0" fontId="8" fillId="2" borderId="43" xfId="0" applyFont="1" applyFill="1" applyBorder="1" applyAlignment="1" applyProtection="1">
      <alignment horizontal="center" vertical="center" wrapText="1"/>
    </xf>
    <xf numFmtId="178" fontId="23" fillId="2" borderId="39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39" xfId="0" applyNumberFormat="1" applyFont="1" applyFill="1" applyBorder="1" applyAlignment="1" applyProtection="1">
      <alignment horizontal="center" vertical="center"/>
      <protection locked="0"/>
    </xf>
    <xf numFmtId="178" fontId="8" fillId="2" borderId="39" xfId="0" applyNumberFormat="1" applyFont="1" applyFill="1" applyBorder="1" applyAlignment="1">
      <alignment horizontal="center" vertical="center"/>
    </xf>
    <xf numFmtId="178" fontId="24" fillId="0" borderId="39" xfId="0" applyNumberFormat="1" applyFont="1" applyFill="1" applyBorder="1" applyAlignment="1" applyProtection="1">
      <alignment horizontal="center" vertical="center"/>
      <protection locked="0"/>
    </xf>
    <xf numFmtId="0" fontId="30" fillId="0" borderId="39" xfId="0" applyFont="1" applyFill="1" applyBorder="1" applyAlignment="1">
      <alignment horizontal="center" vertical="center" wrapText="1"/>
    </xf>
    <xf numFmtId="178" fontId="31" fillId="2" borderId="0" xfId="19" applyNumberFormat="1" applyFont="1" applyFill="1" applyBorder="1" applyAlignment="1" applyProtection="1">
      <alignment horizontal="center" vertical="center" wrapText="1"/>
      <protection locked="0"/>
    </xf>
    <xf numFmtId="178" fontId="31" fillId="2" borderId="0" xfId="19" applyNumberFormat="1" applyFont="1" applyFill="1" applyBorder="1" applyAlignment="1" applyProtection="1">
      <alignment horizontal="center" vertical="center" wrapText="1"/>
    </xf>
    <xf numFmtId="0" fontId="31" fillId="2" borderId="0" xfId="19" applyFont="1" applyFill="1"/>
    <xf numFmtId="0" fontId="24" fillId="0" borderId="43" xfId="0" applyFont="1" applyFill="1" applyBorder="1" applyAlignment="1" applyProtection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9" fillId="0" borderId="6" xfId="19" applyFont="1" applyFill="1" applyBorder="1" applyAlignment="1" applyProtection="1">
      <alignment horizontal="center" vertical="center" wrapText="1"/>
    </xf>
    <xf numFmtId="0" fontId="9" fillId="0" borderId="43" xfId="19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0" borderId="6" xfId="0" applyFont="1" applyFill="1" applyBorder="1" applyAlignment="1" applyProtection="1">
      <alignment horizontal="center" vertical="center" wrapText="1"/>
    </xf>
    <xf numFmtId="0" fontId="9" fillId="0" borderId="42" xfId="19" applyFont="1" applyFill="1" applyBorder="1" applyAlignment="1" applyProtection="1">
      <alignment vertical="center" wrapText="1"/>
    </xf>
    <xf numFmtId="0" fontId="8" fillId="0" borderId="42" xfId="19" applyFont="1" applyFill="1" applyBorder="1" applyAlignment="1" applyProtection="1">
      <alignment vertical="center" wrapText="1"/>
    </xf>
    <xf numFmtId="0" fontId="20" fillId="0" borderId="39" xfId="19" applyNumberFormat="1" applyFont="1" applyFill="1" applyBorder="1" applyAlignment="1" applyProtection="1">
      <alignment horizontal="centerContinuous" vertical="center" wrapText="1"/>
    </xf>
    <xf numFmtId="178" fontId="8" fillId="0" borderId="41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/>
    </xf>
    <xf numFmtId="0" fontId="9" fillId="0" borderId="6" xfId="19" applyFont="1" applyFill="1" applyBorder="1" applyAlignment="1" applyProtection="1">
      <alignment horizontal="center" wrapText="1"/>
    </xf>
    <xf numFmtId="0" fontId="9" fillId="0" borderId="43" xfId="19" applyFont="1" applyFill="1" applyBorder="1" applyAlignment="1" applyProtection="1">
      <alignment horizontal="center" vertical="top" wrapText="1"/>
    </xf>
    <xf numFmtId="49" fontId="9" fillId="0" borderId="6" xfId="19" applyNumberFormat="1" applyFont="1" applyFill="1" applyBorder="1" applyAlignment="1" applyProtection="1">
      <alignment horizontal="center" vertical="center"/>
    </xf>
    <xf numFmtId="49" fontId="9" fillId="0" borderId="43" xfId="19" applyNumberFormat="1" applyFont="1" applyFill="1" applyBorder="1" applyAlignment="1" applyProtection="1">
      <alignment horizontal="center" vertical="center"/>
    </xf>
    <xf numFmtId="178" fontId="19" fillId="0" borderId="49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49" xfId="0" applyFont="1" applyFill="1" applyBorder="1" applyAlignment="1">
      <alignment horizontal="center" vertical="center" wrapText="1"/>
    </xf>
    <xf numFmtId="178" fontId="19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5" xfId="0" applyFont="1" applyFill="1" applyBorder="1" applyAlignment="1">
      <alignment horizontal="center" vertical="center" wrapText="1"/>
    </xf>
    <xf numFmtId="178" fontId="8" fillId="0" borderId="42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39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Fill="1" applyBorder="1" applyAlignment="1">
      <alignment horizontal="center" vertical="center" wrapText="1"/>
    </xf>
    <xf numFmtId="185" fontId="19" fillId="0" borderId="49" xfId="15" quotePrefix="1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 wrapText="1"/>
    </xf>
    <xf numFmtId="0" fontId="8" fillId="0" borderId="49" xfId="0" applyFont="1" applyFill="1" applyBorder="1" applyAlignment="1">
      <alignment horizontal="center" vertical="center"/>
    </xf>
    <xf numFmtId="185" fontId="19" fillId="0" borderId="39" xfId="15" quotePrefix="1" applyNumberFormat="1" applyFont="1" applyFill="1" applyBorder="1" applyAlignment="1">
      <alignment horizontal="center" vertical="center"/>
    </xf>
    <xf numFmtId="185" fontId="19" fillId="0" borderId="15" xfId="15" quotePrefix="1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85" fontId="19" fillId="0" borderId="10" xfId="15" quotePrefix="1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43" xfId="0" applyNumberFormat="1" applyFont="1" applyFill="1" applyBorder="1" applyAlignment="1">
      <alignment horizontal="center" vertical="center"/>
    </xf>
    <xf numFmtId="49" fontId="8" fillId="0" borderId="4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186" fontId="8" fillId="0" borderId="39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85" fontId="19" fillId="0" borderId="57" xfId="15" quotePrefix="1" applyNumberFormat="1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0" fontId="29" fillId="0" borderId="19" xfId="19" applyFont="1" applyFill="1" applyBorder="1"/>
    <xf numFmtId="0" fontId="29" fillId="0" borderId="29" xfId="19" applyFont="1" applyFill="1" applyBorder="1"/>
    <xf numFmtId="0" fontId="29" fillId="2" borderId="0" xfId="19" applyFont="1" applyFill="1"/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43" xfId="0" applyNumberFormat="1" applyFont="1" applyFill="1" applyBorder="1" applyAlignment="1">
      <alignment horizontal="center" vertical="center"/>
    </xf>
    <xf numFmtId="178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49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 wrapText="1"/>
    </xf>
    <xf numFmtId="49" fontId="19" fillId="0" borderId="39" xfId="0" applyNumberFormat="1" applyFont="1" applyFill="1" applyBorder="1" applyAlignment="1">
      <alignment horizontal="center" vertical="center"/>
    </xf>
    <xf numFmtId="178" fontId="8" fillId="0" borderId="5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185" fontId="19" fillId="0" borderId="43" xfId="15" quotePrefix="1" applyNumberFormat="1" applyFont="1" applyFill="1" applyBorder="1" applyAlignment="1">
      <alignment horizontal="center" vertical="center"/>
    </xf>
    <xf numFmtId="178" fontId="19" fillId="0" borderId="57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57" xfId="0" applyFont="1" applyFill="1" applyBorder="1" applyAlignment="1">
      <alignment horizontal="center" vertical="center" wrapText="1"/>
    </xf>
    <xf numFmtId="49" fontId="8" fillId="0" borderId="57" xfId="0" applyNumberFormat="1" applyFont="1" applyFill="1" applyBorder="1" applyAlignment="1">
      <alignment horizontal="center" vertical="center"/>
    </xf>
    <xf numFmtId="178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42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20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43" xfId="0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 applyProtection="1">
      <alignment horizontal="center" vertical="center" wrapText="1"/>
    </xf>
    <xf numFmtId="49" fontId="8" fillId="3" borderId="6" xfId="0" applyNumberFormat="1" applyFont="1" applyFill="1" applyBorder="1" applyAlignment="1">
      <alignment horizontal="center" vertical="center"/>
    </xf>
    <xf numFmtId="178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3" borderId="42" xfId="0" applyNumberFormat="1" applyFont="1" applyFill="1" applyBorder="1" applyAlignment="1" applyProtection="1">
      <alignment horizontal="center" vertical="center" wrapText="1"/>
      <protection locked="0"/>
    </xf>
    <xf numFmtId="178" fontId="19" fillId="3" borderId="39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9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185" fontId="19" fillId="0" borderId="43" xfId="15" quotePrefix="1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 applyProtection="1">
      <alignment horizontal="center" vertical="center" wrapText="1"/>
    </xf>
    <xf numFmtId="0" fontId="8" fillId="0" borderId="43" xfId="0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3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6" xfId="0" applyNumberFormat="1" applyFont="1" applyFill="1" applyBorder="1" applyAlignment="1" applyProtection="1">
      <alignment horizontal="center" vertical="center" wrapText="1"/>
      <protection locked="0"/>
    </xf>
    <xf numFmtId="178" fontId="8" fillId="2" borderId="43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6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47" xfId="0" applyNumberFormat="1" applyFont="1" applyFill="1" applyBorder="1" applyAlignment="1" applyProtection="1">
      <alignment horizontal="center" vertical="center" wrapText="1"/>
      <protection locked="0"/>
    </xf>
    <xf numFmtId="178" fontId="19" fillId="0" borderId="43" xfId="0" applyNumberFormat="1" applyFont="1" applyFill="1" applyBorder="1" applyAlignment="1" applyProtection="1">
      <alignment horizontal="center" vertical="center" wrapText="1"/>
      <protection locked="0"/>
    </xf>
    <xf numFmtId="185" fontId="19" fillId="0" borderId="6" xfId="15" quotePrefix="1" applyNumberFormat="1" applyFont="1" applyFill="1" applyBorder="1" applyAlignment="1">
      <alignment horizontal="center" vertical="center"/>
    </xf>
    <xf numFmtId="185" fontId="19" fillId="0" borderId="47" xfId="15" quotePrefix="1" applyNumberFormat="1" applyFont="1" applyFill="1" applyBorder="1" applyAlignment="1">
      <alignment horizontal="center" vertical="center"/>
    </xf>
    <xf numFmtId="185" fontId="19" fillId="0" borderId="43" xfId="15" quotePrefix="1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 applyProtection="1">
      <alignment horizontal="center" vertical="center" wrapText="1"/>
    </xf>
    <xf numFmtId="49" fontId="8" fillId="0" borderId="47" xfId="0" applyNumberFormat="1" applyFont="1" applyFill="1" applyBorder="1" applyAlignment="1">
      <alignment horizontal="center" vertical="center"/>
    </xf>
    <xf numFmtId="178" fontId="8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19" applyFont="1" applyFill="1" applyBorder="1" applyAlignment="1" applyProtection="1">
      <alignment horizontal="center" vertical="center" wrapText="1"/>
    </xf>
    <xf numFmtId="0" fontId="9" fillId="0" borderId="43" xfId="19" applyFont="1" applyFill="1" applyBorder="1" applyAlignment="1" applyProtection="1">
      <alignment horizontal="center" vertical="center" wrapText="1"/>
    </xf>
    <xf numFmtId="0" fontId="9" fillId="0" borderId="39" xfId="19" applyFont="1" applyFill="1" applyBorder="1" applyAlignment="1" applyProtection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186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43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49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178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1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8" fillId="0" borderId="49" xfId="0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horizontal="center" vertical="center" wrapText="1"/>
    </xf>
    <xf numFmtId="49" fontId="8" fillId="0" borderId="49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15" xfId="0" applyNumberFormat="1" applyFont="1" applyFill="1" applyBorder="1" applyAlignment="1">
      <alignment horizontal="center" vertical="center"/>
    </xf>
    <xf numFmtId="186" fontId="8" fillId="0" borderId="49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10" xfId="0" applyNumberFormat="1" applyFont="1" applyFill="1" applyBorder="1" applyAlignment="1" applyProtection="1">
      <alignment horizontal="center" vertical="center" wrapText="1"/>
      <protection locked="0"/>
    </xf>
    <xf numFmtId="186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9" xfId="19" applyFont="1" applyFill="1" applyBorder="1" applyAlignment="1" applyProtection="1">
      <alignment horizontal="center" vertical="center"/>
    </xf>
    <xf numFmtId="49" fontId="9" fillId="0" borderId="6" xfId="19" applyNumberFormat="1" applyFont="1" applyFill="1" applyBorder="1" applyAlignment="1" applyProtection="1">
      <alignment horizontal="center" vertical="center"/>
    </xf>
    <xf numFmtId="49" fontId="9" fillId="0" borderId="43" xfId="19" applyNumberFormat="1" applyFont="1" applyFill="1" applyBorder="1" applyAlignment="1" applyProtection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>
      <alignment horizontal="center" vertical="center"/>
    </xf>
    <xf numFmtId="0" fontId="9" fillId="0" borderId="21" xfId="19" applyFont="1" applyFill="1" applyBorder="1" applyAlignment="1" applyProtection="1">
      <alignment horizontal="center" vertical="center" wrapText="1"/>
    </xf>
    <xf numFmtId="0" fontId="9" fillId="0" borderId="29" xfId="19" applyFont="1" applyFill="1" applyBorder="1" applyAlignment="1" applyProtection="1">
      <alignment horizontal="center" vertical="center" wrapText="1"/>
    </xf>
    <xf numFmtId="0" fontId="9" fillId="0" borderId="42" xfId="19" applyFont="1" applyFill="1" applyBorder="1" applyAlignment="1" applyProtection="1">
      <alignment horizontal="center" vertical="center" wrapText="1"/>
    </xf>
    <xf numFmtId="0" fontId="9" fillId="0" borderId="50" xfId="19" applyFont="1" applyFill="1" applyBorder="1" applyAlignment="1" applyProtection="1">
      <alignment horizontal="center" vertical="center"/>
    </xf>
    <xf numFmtId="0" fontId="9" fillId="0" borderId="20" xfId="19" applyFont="1" applyFill="1" applyBorder="1" applyAlignment="1" applyProtection="1">
      <alignment horizontal="center" vertical="center"/>
    </xf>
    <xf numFmtId="0" fontId="16" fillId="0" borderId="40" xfId="0" applyFont="1" applyFill="1" applyBorder="1" applyAlignment="1">
      <alignment horizontal="center" vertical="center" wrapText="1"/>
    </xf>
    <xf numFmtId="0" fontId="16" fillId="0" borderId="5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4" fillId="0" borderId="0" xfId="19" applyFont="1" applyFill="1" applyBorder="1" applyAlignment="1" applyProtection="1">
      <alignment horizontal="center"/>
    </xf>
    <xf numFmtId="0" fontId="16" fillId="0" borderId="39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 applyProtection="1">
      <alignment horizontal="center" vertical="center" wrapText="1"/>
    </xf>
    <xf numFmtId="0" fontId="22" fillId="0" borderId="0" xfId="19" applyFont="1" applyFill="1" applyBorder="1" applyAlignment="1" applyProtection="1">
      <alignment horizontal="center"/>
    </xf>
    <xf numFmtId="0" fontId="8" fillId="0" borderId="6" xfId="19" applyFont="1" applyFill="1" applyBorder="1" applyAlignment="1" applyProtection="1">
      <alignment horizontal="center" vertical="center" wrapText="1"/>
    </xf>
    <xf numFmtId="0" fontId="8" fillId="0" borderId="43" xfId="19" applyFont="1" applyFill="1" applyBorder="1" applyAlignment="1" applyProtection="1">
      <alignment horizontal="center" vertical="center" wrapText="1"/>
    </xf>
    <xf numFmtId="49" fontId="8" fillId="0" borderId="6" xfId="19" applyNumberFormat="1" applyFont="1" applyFill="1" applyBorder="1" applyAlignment="1" applyProtection="1">
      <alignment horizontal="center" vertical="center"/>
    </xf>
    <xf numFmtId="49" fontId="8" fillId="0" borderId="43" xfId="19" applyNumberFormat="1" applyFont="1" applyFill="1" applyBorder="1" applyAlignment="1" applyProtection="1">
      <alignment horizontal="center" vertical="center"/>
    </xf>
    <xf numFmtId="0" fontId="16" fillId="0" borderId="43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 wrapText="1"/>
    </xf>
    <xf numFmtId="0" fontId="8" fillId="0" borderId="21" xfId="19" applyFont="1" applyFill="1" applyBorder="1" applyAlignment="1" applyProtection="1">
      <alignment horizontal="center" vertical="center" wrapText="1"/>
    </xf>
    <xf numFmtId="0" fontId="8" fillId="0" borderId="42" xfId="19" applyFont="1" applyFill="1" applyBorder="1" applyAlignment="1" applyProtection="1">
      <alignment horizontal="center" vertical="center" wrapText="1"/>
    </xf>
    <xf numFmtId="0" fontId="8" fillId="0" borderId="29" xfId="19" applyFont="1" applyFill="1" applyBorder="1" applyAlignment="1" applyProtection="1">
      <alignment horizontal="center" vertical="center" wrapText="1"/>
    </xf>
    <xf numFmtId="0" fontId="8" fillId="0" borderId="6" xfId="19" applyFont="1" applyFill="1" applyBorder="1" applyAlignment="1" applyProtection="1">
      <alignment horizontal="center" vertical="center"/>
    </xf>
    <xf numFmtId="0" fontId="8" fillId="0" borderId="43" xfId="19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47" xfId="0" applyFont="1" applyFill="1" applyBorder="1" applyAlignment="1" applyProtection="1">
      <alignment horizontal="center" vertical="center" wrapText="1"/>
    </xf>
    <xf numFmtId="0" fontId="8" fillId="0" borderId="39" xfId="2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8" fillId="0" borderId="6" xfId="20" applyFont="1" applyBorder="1" applyAlignment="1">
      <alignment horizontal="distributed" vertical="center"/>
    </xf>
    <xf numFmtId="0" fontId="0" fillId="0" borderId="4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16" fillId="0" borderId="39" xfId="0" applyFont="1" applyBorder="1" applyAlignment="1"/>
    <xf numFmtId="0" fontId="8" fillId="0" borderId="6" xfId="2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8" fillId="0" borderId="0" xfId="20" applyFont="1" applyAlignment="1">
      <alignment horizontal="center" vertical="center"/>
    </xf>
    <xf numFmtId="0" fontId="8" fillId="0" borderId="47" xfId="20" applyFont="1" applyBorder="1" applyAlignment="1">
      <alignment horizontal="distributed" vertical="center"/>
    </xf>
    <xf numFmtId="0" fontId="8" fillId="0" borderId="47" xfId="20" applyFont="1" applyBorder="1" applyAlignment="1">
      <alignment horizontal="center" vertical="center" wrapText="1"/>
    </xf>
    <xf numFmtId="0" fontId="9" fillId="0" borderId="51" xfId="19" applyFont="1" applyFill="1" applyBorder="1" applyAlignment="1" applyProtection="1">
      <alignment horizontal="center" vertical="center" wrapText="1"/>
    </xf>
    <xf numFmtId="0" fontId="9" fillId="0" borderId="38" xfId="19" applyFont="1" applyFill="1" applyBorder="1" applyAlignment="1" applyProtection="1">
      <alignment horizontal="center" vertical="center" wrapText="1"/>
    </xf>
    <xf numFmtId="184" fontId="9" fillId="0" borderId="51" xfId="19" applyNumberFormat="1" applyFont="1" applyFill="1" applyBorder="1" applyAlignment="1" applyProtection="1">
      <alignment horizontal="center" vertical="center" wrapText="1"/>
    </xf>
    <xf numFmtId="184" fontId="9" fillId="0" borderId="38" xfId="19" applyNumberFormat="1" applyFont="1" applyFill="1" applyBorder="1" applyAlignment="1" applyProtection="1">
      <alignment horizontal="center" vertical="center"/>
    </xf>
    <xf numFmtId="184" fontId="9" fillId="0" borderId="51" xfId="19" applyNumberFormat="1" applyFont="1" applyFill="1" applyBorder="1" applyAlignment="1" applyProtection="1">
      <alignment horizontal="center" vertical="center"/>
    </xf>
    <xf numFmtId="0" fontId="9" fillId="0" borderId="48" xfId="19" applyFont="1" applyFill="1" applyBorder="1" applyAlignment="1" applyProtection="1">
      <alignment horizontal="center" vertical="center" wrapText="1"/>
    </xf>
    <xf numFmtId="0" fontId="9" fillId="0" borderId="44" xfId="19" applyFont="1" applyFill="1" applyBorder="1" applyAlignment="1" applyProtection="1">
      <alignment horizontal="center" vertical="center" wrapText="1"/>
    </xf>
    <xf numFmtId="0" fontId="9" fillId="0" borderId="52" xfId="19" applyFont="1" applyFill="1" applyBorder="1" applyAlignment="1" applyProtection="1">
      <alignment horizontal="center" vertical="center" wrapText="1"/>
    </xf>
    <xf numFmtId="0" fontId="9" fillId="0" borderId="53" xfId="19" applyFont="1" applyFill="1" applyBorder="1" applyAlignment="1" applyProtection="1">
      <alignment horizontal="center" vertical="center"/>
    </xf>
    <xf numFmtId="0" fontId="9" fillId="0" borderId="54" xfId="19" applyFont="1" applyFill="1" applyBorder="1" applyAlignment="1" applyProtection="1">
      <alignment horizontal="center" vertical="center"/>
    </xf>
    <xf numFmtId="49" fontId="9" fillId="0" borderId="51" xfId="19" applyNumberFormat="1" applyFont="1" applyFill="1" applyBorder="1" applyAlignment="1" applyProtection="1">
      <alignment horizontal="center" vertical="center"/>
    </xf>
    <xf numFmtId="49" fontId="9" fillId="0" borderId="38" xfId="19" applyNumberFormat="1" applyFont="1" applyFill="1" applyBorder="1" applyAlignment="1" applyProtection="1">
      <alignment horizontal="center" vertical="center"/>
    </xf>
    <xf numFmtId="49" fontId="9" fillId="0" borderId="48" xfId="19" applyNumberFormat="1" applyFont="1" applyFill="1" applyBorder="1" applyAlignment="1" applyProtection="1">
      <alignment horizontal="center" vertical="center"/>
    </xf>
    <xf numFmtId="49" fontId="9" fillId="0" borderId="44" xfId="19" applyNumberFormat="1" applyFont="1" applyFill="1" applyBorder="1" applyAlignment="1" applyProtection="1">
      <alignment horizontal="center" vertical="center"/>
    </xf>
    <xf numFmtId="0" fontId="9" fillId="0" borderId="55" xfId="19" applyFont="1" applyFill="1" applyBorder="1" applyAlignment="1" applyProtection="1">
      <alignment horizontal="center" vertical="center" wrapText="1"/>
    </xf>
    <xf numFmtId="0" fontId="9" fillId="0" borderId="56" xfId="19" applyFont="1" applyFill="1" applyBorder="1" applyAlignment="1" applyProtection="1">
      <alignment horizontal="center" vertical="center" wrapText="1"/>
    </xf>
    <xf numFmtId="184" fontId="9" fillId="0" borderId="48" xfId="19" applyNumberFormat="1" applyFont="1" applyFill="1" applyBorder="1" applyAlignment="1" applyProtection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 wrapText="1"/>
    </xf>
  </cellXfs>
  <cellStyles count="21">
    <cellStyle name="Comma" xfId="1"/>
    <cellStyle name="Comma [0]_ SG&amp;A Bridge " xfId="2"/>
    <cellStyle name="Comma_ SG&amp;A Bridge " xfId="3"/>
    <cellStyle name="Currency" xfId="4"/>
    <cellStyle name="Currency [0]_ SG&amp;A Bridge " xfId="5"/>
    <cellStyle name="Currency_ SG&amp;A Bridge " xfId="6"/>
    <cellStyle name="Date" xfId="7"/>
    <cellStyle name="Fixed" xfId="8"/>
    <cellStyle name="Heading1" xfId="9"/>
    <cellStyle name="Heading2" xfId="10"/>
    <cellStyle name="Normal_ SG&amp;A Bridge " xfId="11"/>
    <cellStyle name="Percent" xfId="12"/>
    <cellStyle name="Total" xfId="13"/>
    <cellStyle name="뷭?_BOOKSHIP" xfId="14"/>
    <cellStyle name="쉼표 [0]" xfId="15" builtinId="6"/>
    <cellStyle name="콤마 [0]_1202" xfId="16"/>
    <cellStyle name="콤마_1202" xfId="17"/>
    <cellStyle name="표준" xfId="0" builtinId="0"/>
    <cellStyle name="표준 2" xfId="18"/>
    <cellStyle name="표준_용지조서(1)" xfId="19"/>
    <cellStyle name="표준_집계표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R79"/>
  <sheetViews>
    <sheetView showGridLines="0" showZeros="0" tabSelected="1" view="pageBreakPreview" zoomScale="130" zoomScaleSheetLayoutView="130" workbookViewId="0">
      <selection sqref="A1:R1"/>
    </sheetView>
  </sheetViews>
  <sheetFormatPr defaultRowHeight="11.25"/>
  <cols>
    <col min="1" max="1" width="4.33203125" style="50" customWidth="1"/>
    <col min="2" max="2" width="6.77734375" style="50" customWidth="1"/>
    <col min="3" max="3" width="7.77734375" style="50" customWidth="1"/>
    <col min="4" max="5" width="3.77734375" style="50" hidden="1" customWidth="1"/>
    <col min="6" max="6" width="3.77734375" style="50" customWidth="1"/>
    <col min="7" max="7" width="8.44140625" style="50" hidden="1" customWidth="1"/>
    <col min="8" max="9" width="6.77734375" style="50" customWidth="1"/>
    <col min="10" max="10" width="6.77734375" style="74" hidden="1" customWidth="1"/>
    <col min="11" max="11" width="7.77734375" style="50" customWidth="1"/>
    <col min="12" max="12" width="25.77734375" style="50" customWidth="1"/>
    <col min="13" max="13" width="6.77734375" style="50" customWidth="1"/>
    <col min="14" max="14" width="7.77734375" style="50" customWidth="1"/>
    <col min="15" max="15" width="25.77734375" style="50" customWidth="1"/>
    <col min="16" max="16" width="9.44140625" style="50" customWidth="1"/>
    <col min="17" max="17" width="10.77734375" style="50" hidden="1" customWidth="1"/>
    <col min="18" max="18" width="10.44140625" style="50" customWidth="1"/>
    <col min="19" max="16384" width="8.88671875" style="50"/>
  </cols>
  <sheetData>
    <row r="1" spans="1:18" s="45" customFormat="1" ht="42" customHeight="1">
      <c r="A1" s="390" t="s">
        <v>411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</row>
    <row r="2" spans="1:18" s="54" customFormat="1" ht="24.75" customHeight="1">
      <c r="A2" s="269" t="s">
        <v>306</v>
      </c>
      <c r="B2" s="367" t="s">
        <v>308</v>
      </c>
      <c r="C2" s="391" t="s">
        <v>59</v>
      </c>
      <c r="D2" s="391" t="s">
        <v>322</v>
      </c>
      <c r="E2" s="271" t="s">
        <v>322</v>
      </c>
      <c r="F2" s="367" t="s">
        <v>397</v>
      </c>
      <c r="G2" s="367" t="s">
        <v>319</v>
      </c>
      <c r="H2" s="393" t="s">
        <v>64</v>
      </c>
      <c r="I2" s="400" t="s">
        <v>318</v>
      </c>
      <c r="J2" s="401"/>
      <c r="K2" s="395" t="s">
        <v>36</v>
      </c>
      <c r="L2" s="396"/>
      <c r="M2" s="397"/>
      <c r="N2" s="369" t="s">
        <v>37</v>
      </c>
      <c r="O2" s="369"/>
      <c r="P2" s="369"/>
      <c r="Q2" s="367" t="s">
        <v>321</v>
      </c>
      <c r="R2" s="398" t="s">
        <v>27</v>
      </c>
    </row>
    <row r="3" spans="1:18" s="54" customFormat="1" ht="24.75" customHeight="1">
      <c r="A3" s="270" t="s">
        <v>307</v>
      </c>
      <c r="B3" s="368"/>
      <c r="C3" s="392"/>
      <c r="D3" s="392"/>
      <c r="E3" s="272" t="s">
        <v>323</v>
      </c>
      <c r="F3" s="368"/>
      <c r="G3" s="368"/>
      <c r="H3" s="394"/>
      <c r="I3" s="402"/>
      <c r="J3" s="403"/>
      <c r="K3" s="110" t="s">
        <v>39</v>
      </c>
      <c r="L3" s="109" t="s">
        <v>40</v>
      </c>
      <c r="M3" s="109" t="s">
        <v>320</v>
      </c>
      <c r="N3" s="110" t="s">
        <v>39</v>
      </c>
      <c r="O3" s="110" t="s">
        <v>40</v>
      </c>
      <c r="P3" s="109" t="s">
        <v>54</v>
      </c>
      <c r="Q3" s="368"/>
      <c r="R3" s="399"/>
    </row>
    <row r="4" spans="1:18" s="140" customFormat="1" ht="24.95" customHeight="1">
      <c r="A4" s="111">
        <v>1</v>
      </c>
      <c r="B4" s="111" t="s">
        <v>363</v>
      </c>
      <c r="C4" s="312" t="s">
        <v>325</v>
      </c>
      <c r="D4" s="314" t="s">
        <v>324</v>
      </c>
      <c r="E4" s="314"/>
      <c r="F4" s="314" t="s">
        <v>324</v>
      </c>
      <c r="G4" s="326">
        <v>83300</v>
      </c>
      <c r="H4" s="314">
        <v>316</v>
      </c>
      <c r="I4" s="314">
        <v>316</v>
      </c>
      <c r="J4" s="316"/>
      <c r="K4" s="273" t="s">
        <v>362</v>
      </c>
      <c r="L4" s="273" t="s">
        <v>361</v>
      </c>
      <c r="M4" s="281"/>
      <c r="N4" s="274"/>
      <c r="O4" s="274"/>
      <c r="P4" s="274"/>
      <c r="Q4" s="283"/>
      <c r="R4" s="284"/>
    </row>
    <row r="5" spans="1:18" s="244" customFormat="1" ht="24.95" customHeight="1">
      <c r="A5" s="311">
        <v>2</v>
      </c>
      <c r="B5" s="111" t="s">
        <v>363</v>
      </c>
      <c r="C5" s="122" t="s">
        <v>326</v>
      </c>
      <c r="D5" s="277" t="s">
        <v>327</v>
      </c>
      <c r="E5" s="277"/>
      <c r="F5" s="277" t="s">
        <v>327</v>
      </c>
      <c r="G5" s="327">
        <v>288300</v>
      </c>
      <c r="H5" s="112">
        <v>584</v>
      </c>
      <c r="I5" s="112">
        <v>48</v>
      </c>
      <c r="J5" s="112"/>
      <c r="K5" s="278" t="s">
        <v>362</v>
      </c>
      <c r="L5" s="278" t="s">
        <v>361</v>
      </c>
      <c r="M5" s="281"/>
      <c r="N5" s="124"/>
      <c r="O5" s="124"/>
      <c r="P5" s="282"/>
      <c r="Q5" s="317"/>
      <c r="R5" s="122"/>
    </row>
    <row r="6" spans="1:18" s="244" customFormat="1" ht="24.95" customHeight="1">
      <c r="A6" s="311">
        <v>3</v>
      </c>
      <c r="B6" s="111" t="s">
        <v>363</v>
      </c>
      <c r="C6" s="122" t="s">
        <v>328</v>
      </c>
      <c r="D6" s="277" t="s">
        <v>327</v>
      </c>
      <c r="E6" s="277"/>
      <c r="F6" s="277" t="s">
        <v>327</v>
      </c>
      <c r="G6" s="327">
        <v>83300</v>
      </c>
      <c r="H6" s="112">
        <v>261</v>
      </c>
      <c r="I6" s="112">
        <v>78</v>
      </c>
      <c r="J6" s="112"/>
      <c r="K6" s="278" t="s">
        <v>362</v>
      </c>
      <c r="L6" s="124" t="s">
        <v>361</v>
      </c>
      <c r="M6" s="281"/>
      <c r="N6" s="124"/>
      <c r="O6" s="124"/>
      <c r="P6" s="124"/>
      <c r="Q6" s="280"/>
      <c r="R6" s="318"/>
    </row>
    <row r="7" spans="1:18" s="244" customFormat="1" ht="24.95" customHeight="1">
      <c r="A7" s="311">
        <v>4</v>
      </c>
      <c r="B7" s="111" t="s">
        <v>363</v>
      </c>
      <c r="C7" s="122" t="s">
        <v>329</v>
      </c>
      <c r="D7" s="277" t="s">
        <v>327</v>
      </c>
      <c r="E7" s="277"/>
      <c r="F7" s="277" t="s">
        <v>327</v>
      </c>
      <c r="G7" s="327">
        <v>95700</v>
      </c>
      <c r="H7" s="112">
        <v>24</v>
      </c>
      <c r="I7" s="112">
        <v>15</v>
      </c>
      <c r="J7" s="112"/>
      <c r="K7" s="278" t="s">
        <v>362</v>
      </c>
      <c r="L7" s="124" t="s">
        <v>361</v>
      </c>
      <c r="M7" s="281"/>
      <c r="N7" s="124"/>
      <c r="O7" s="124"/>
      <c r="P7" s="124"/>
      <c r="Q7" s="288"/>
      <c r="R7" s="313"/>
    </row>
    <row r="8" spans="1:18" s="244" customFormat="1" ht="24.95" customHeight="1">
      <c r="A8" s="311">
        <v>5</v>
      </c>
      <c r="B8" s="111" t="s">
        <v>363</v>
      </c>
      <c r="C8" s="122" t="s">
        <v>330</v>
      </c>
      <c r="D8" s="277" t="s">
        <v>327</v>
      </c>
      <c r="E8" s="277"/>
      <c r="F8" s="277" t="s">
        <v>327</v>
      </c>
      <c r="G8" s="327">
        <v>95700</v>
      </c>
      <c r="H8" s="112">
        <v>4</v>
      </c>
      <c r="I8" s="112">
        <v>4</v>
      </c>
      <c r="J8" s="112"/>
      <c r="K8" s="278" t="s">
        <v>362</v>
      </c>
      <c r="L8" s="278" t="s">
        <v>361</v>
      </c>
      <c r="M8" s="281"/>
      <c r="N8" s="124"/>
      <c r="O8" s="124"/>
      <c r="P8" s="124"/>
      <c r="Q8" s="287"/>
      <c r="R8" s="122"/>
    </row>
    <row r="9" spans="1:18" s="244" customFormat="1" ht="24.95" customHeight="1">
      <c r="A9" s="311">
        <v>6</v>
      </c>
      <c r="B9" s="111" t="s">
        <v>363</v>
      </c>
      <c r="C9" s="122" t="s">
        <v>331</v>
      </c>
      <c r="D9" s="277" t="s">
        <v>401</v>
      </c>
      <c r="E9" s="277"/>
      <c r="F9" s="277" t="s">
        <v>401</v>
      </c>
      <c r="G9" s="327">
        <v>548200</v>
      </c>
      <c r="H9" s="112">
        <v>574</v>
      </c>
      <c r="I9" s="112">
        <v>32</v>
      </c>
      <c r="J9" s="112"/>
      <c r="K9" s="278" t="s">
        <v>414</v>
      </c>
      <c r="L9" s="229" t="s">
        <v>412</v>
      </c>
      <c r="M9" s="281"/>
      <c r="N9" s="124" t="s">
        <v>373</v>
      </c>
      <c r="O9" s="124" t="s">
        <v>374</v>
      </c>
      <c r="P9" s="124" t="s">
        <v>376</v>
      </c>
      <c r="Q9" s="114"/>
      <c r="R9" s="122"/>
    </row>
    <row r="10" spans="1:18" s="244" customFormat="1" ht="24.95" customHeight="1">
      <c r="A10" s="311">
        <v>7</v>
      </c>
      <c r="B10" s="111" t="s">
        <v>363</v>
      </c>
      <c r="C10" s="122" t="s">
        <v>332</v>
      </c>
      <c r="D10" s="277" t="s">
        <v>327</v>
      </c>
      <c r="E10" s="277"/>
      <c r="F10" s="277" t="s">
        <v>327</v>
      </c>
      <c r="G10" s="327">
        <v>177300</v>
      </c>
      <c r="H10" s="112">
        <v>35</v>
      </c>
      <c r="I10" s="112">
        <v>35</v>
      </c>
      <c r="J10" s="112"/>
      <c r="K10" s="278" t="s">
        <v>414</v>
      </c>
      <c r="L10" s="229" t="s">
        <v>412</v>
      </c>
      <c r="M10" s="281"/>
      <c r="N10" s="124"/>
      <c r="O10" s="124"/>
      <c r="P10" s="124"/>
      <c r="Q10" s="114"/>
      <c r="R10" s="122"/>
    </row>
    <row r="11" spans="1:18" s="244" customFormat="1" ht="24.95" customHeight="1">
      <c r="A11" s="350">
        <v>8</v>
      </c>
      <c r="B11" s="350" t="s">
        <v>364</v>
      </c>
      <c r="C11" s="352" t="s">
        <v>333</v>
      </c>
      <c r="D11" s="314" t="s">
        <v>334</v>
      </c>
      <c r="E11" s="314"/>
      <c r="F11" s="354" t="s">
        <v>334</v>
      </c>
      <c r="G11" s="326">
        <v>284700</v>
      </c>
      <c r="H11" s="354">
        <v>1049</v>
      </c>
      <c r="I11" s="354">
        <v>175</v>
      </c>
      <c r="J11" s="314"/>
      <c r="K11" s="358" t="s">
        <v>413</v>
      </c>
      <c r="L11" s="358" t="s">
        <v>412</v>
      </c>
      <c r="M11" s="361"/>
      <c r="N11" s="124" t="s">
        <v>373</v>
      </c>
      <c r="O11" s="124" t="s">
        <v>374</v>
      </c>
      <c r="P11" s="274" t="s">
        <v>376</v>
      </c>
      <c r="Q11" s="177"/>
      <c r="R11" s="315"/>
    </row>
    <row r="12" spans="1:18" s="244" customFormat="1" ht="24.95" customHeight="1">
      <c r="A12" s="364"/>
      <c r="B12" s="364"/>
      <c r="C12" s="365"/>
      <c r="D12" s="314"/>
      <c r="E12" s="319"/>
      <c r="F12" s="366"/>
      <c r="G12" s="314"/>
      <c r="H12" s="366"/>
      <c r="I12" s="366"/>
      <c r="J12" s="314"/>
      <c r="K12" s="359"/>
      <c r="L12" s="359"/>
      <c r="M12" s="362"/>
      <c r="N12" s="320" t="s">
        <v>377</v>
      </c>
      <c r="O12" s="320" t="s">
        <v>438</v>
      </c>
      <c r="P12" s="320" t="s">
        <v>376</v>
      </c>
      <c r="Q12" s="321"/>
      <c r="R12" s="312"/>
    </row>
    <row r="13" spans="1:18" s="244" customFormat="1" ht="24.95" customHeight="1">
      <c r="A13" s="351"/>
      <c r="B13" s="351"/>
      <c r="C13" s="353"/>
      <c r="D13" s="314"/>
      <c r="E13" s="319"/>
      <c r="F13" s="355"/>
      <c r="G13" s="314"/>
      <c r="H13" s="355"/>
      <c r="I13" s="355"/>
      <c r="J13" s="314"/>
      <c r="K13" s="360"/>
      <c r="L13" s="360"/>
      <c r="M13" s="363"/>
      <c r="N13" s="320" t="s">
        <v>378</v>
      </c>
      <c r="O13" s="320" t="s">
        <v>439</v>
      </c>
      <c r="P13" s="320" t="s">
        <v>376</v>
      </c>
      <c r="Q13" s="321"/>
      <c r="R13" s="312"/>
    </row>
    <row r="14" spans="1:18" s="244" customFormat="1" ht="24.95" customHeight="1">
      <c r="A14" s="350">
        <v>9</v>
      </c>
      <c r="B14" s="350" t="s">
        <v>364</v>
      </c>
      <c r="C14" s="352" t="s">
        <v>335</v>
      </c>
      <c r="D14" s="354" t="s">
        <v>334</v>
      </c>
      <c r="E14" s="277"/>
      <c r="F14" s="354" t="s">
        <v>334</v>
      </c>
      <c r="G14" s="356">
        <v>246500</v>
      </c>
      <c r="H14" s="354">
        <v>165</v>
      </c>
      <c r="I14" s="354">
        <v>165</v>
      </c>
      <c r="J14" s="354"/>
      <c r="K14" s="278" t="s">
        <v>415</v>
      </c>
      <c r="L14" s="278" t="s">
        <v>424</v>
      </c>
      <c r="M14" s="322">
        <v>0.5</v>
      </c>
      <c r="N14" s="370" t="s">
        <v>379</v>
      </c>
      <c r="O14" s="370" t="s">
        <v>380</v>
      </c>
      <c r="P14" s="370" t="s">
        <v>375</v>
      </c>
      <c r="Q14" s="288"/>
      <c r="R14" s="122"/>
    </row>
    <row r="15" spans="1:18" s="244" customFormat="1" ht="24.95" customHeight="1">
      <c r="A15" s="351"/>
      <c r="B15" s="351"/>
      <c r="C15" s="353"/>
      <c r="D15" s="355"/>
      <c r="E15" s="277"/>
      <c r="F15" s="355"/>
      <c r="G15" s="357"/>
      <c r="H15" s="355"/>
      <c r="I15" s="355"/>
      <c r="J15" s="355"/>
      <c r="K15" s="278" t="s">
        <v>415</v>
      </c>
      <c r="L15" s="278" t="s">
        <v>425</v>
      </c>
      <c r="M15" s="286">
        <v>0.5</v>
      </c>
      <c r="N15" s="371"/>
      <c r="O15" s="371"/>
      <c r="P15" s="371"/>
      <c r="Q15" s="288"/>
      <c r="R15" s="122"/>
    </row>
    <row r="16" spans="1:18" s="244" customFormat="1" ht="24.95" customHeight="1">
      <c r="A16" s="333">
        <v>10</v>
      </c>
      <c r="B16" s="333" t="s">
        <v>363</v>
      </c>
      <c r="C16" s="334" t="s">
        <v>336</v>
      </c>
      <c r="D16" s="335" t="s">
        <v>334</v>
      </c>
      <c r="E16" s="336"/>
      <c r="F16" s="335" t="s">
        <v>334</v>
      </c>
      <c r="G16" s="335">
        <v>269100</v>
      </c>
      <c r="H16" s="335">
        <v>1292</v>
      </c>
      <c r="I16" s="335">
        <v>765</v>
      </c>
      <c r="J16" s="335"/>
      <c r="K16" s="337" t="s">
        <v>146</v>
      </c>
      <c r="L16" s="337" t="s">
        <v>426</v>
      </c>
      <c r="M16" s="286"/>
      <c r="N16" s="124"/>
      <c r="O16" s="124"/>
      <c r="P16" s="124"/>
      <c r="Q16" s="287"/>
      <c r="R16" s="313"/>
    </row>
    <row r="17" spans="1:18" s="140" customFormat="1" ht="24.95" customHeight="1">
      <c r="A17" s="111">
        <v>11</v>
      </c>
      <c r="B17" s="111" t="s">
        <v>363</v>
      </c>
      <c r="C17" s="122" t="s">
        <v>337</v>
      </c>
      <c r="D17" s="277" t="s">
        <v>338</v>
      </c>
      <c r="E17" s="277"/>
      <c r="F17" s="277" t="s">
        <v>338</v>
      </c>
      <c r="G17" s="277">
        <v>514800</v>
      </c>
      <c r="H17" s="112">
        <v>182</v>
      </c>
      <c r="I17" s="112">
        <v>97</v>
      </c>
      <c r="J17" s="112"/>
      <c r="K17" s="278" t="s">
        <v>416</v>
      </c>
      <c r="L17" s="278" t="s">
        <v>427</v>
      </c>
      <c r="M17" s="285"/>
      <c r="N17" s="124"/>
      <c r="O17" s="124"/>
      <c r="P17" s="124"/>
      <c r="Q17" s="114"/>
      <c r="R17" s="122"/>
    </row>
    <row r="18" spans="1:18" s="244" customFormat="1" ht="24.95" customHeight="1">
      <c r="A18" s="338">
        <v>12</v>
      </c>
      <c r="B18" s="338" t="s">
        <v>363</v>
      </c>
      <c r="C18" s="340" t="s">
        <v>339</v>
      </c>
      <c r="D18" s="277" t="s">
        <v>334</v>
      </c>
      <c r="E18" s="277"/>
      <c r="F18" s="342" t="s">
        <v>334</v>
      </c>
      <c r="G18" s="277">
        <v>95700</v>
      </c>
      <c r="H18" s="342">
        <v>163</v>
      </c>
      <c r="I18" s="342">
        <v>44</v>
      </c>
      <c r="J18" s="112"/>
      <c r="K18" s="344" t="s">
        <v>417</v>
      </c>
      <c r="L18" s="344" t="s">
        <v>428</v>
      </c>
      <c r="M18" s="281"/>
      <c r="N18" s="124" t="s">
        <v>381</v>
      </c>
      <c r="O18" s="124" t="s">
        <v>382</v>
      </c>
      <c r="P18" s="347" t="s">
        <v>383</v>
      </c>
      <c r="Q18" s="114"/>
      <c r="R18" s="122"/>
    </row>
    <row r="19" spans="1:18" s="304" customFormat="1" ht="24.95" customHeight="1">
      <c r="A19" s="111">
        <v>13</v>
      </c>
      <c r="B19" s="111" t="s">
        <v>364</v>
      </c>
      <c r="C19" s="122" t="s">
        <v>340</v>
      </c>
      <c r="D19" s="277" t="s">
        <v>334</v>
      </c>
      <c r="E19" s="277"/>
      <c r="F19" s="112" t="s">
        <v>334</v>
      </c>
      <c r="G19" s="277">
        <v>95700</v>
      </c>
      <c r="H19" s="112">
        <v>16</v>
      </c>
      <c r="I19" s="112">
        <v>16</v>
      </c>
      <c r="J19" s="112"/>
      <c r="K19" s="278" t="s">
        <v>417</v>
      </c>
      <c r="L19" s="278" t="s">
        <v>428</v>
      </c>
      <c r="M19" s="285"/>
      <c r="N19" s="124" t="s">
        <v>381</v>
      </c>
      <c r="O19" s="124" t="s">
        <v>382</v>
      </c>
      <c r="P19" s="124" t="s">
        <v>383</v>
      </c>
      <c r="Q19" s="114"/>
      <c r="R19" s="122"/>
    </row>
    <row r="20" spans="1:18" s="304" customFormat="1" ht="24.95" customHeight="1">
      <c r="A20" s="350">
        <v>14</v>
      </c>
      <c r="B20" s="350" t="s">
        <v>365</v>
      </c>
      <c r="C20" s="352" t="s">
        <v>341</v>
      </c>
      <c r="D20" s="343" t="s">
        <v>338</v>
      </c>
      <c r="E20" s="343"/>
      <c r="F20" s="354" t="s">
        <v>338</v>
      </c>
      <c r="G20" s="343">
        <v>555700</v>
      </c>
      <c r="H20" s="354">
        <v>1426</v>
      </c>
      <c r="I20" s="354">
        <v>99</v>
      </c>
      <c r="J20" s="343"/>
      <c r="K20" s="358" t="s">
        <v>418</v>
      </c>
      <c r="L20" s="358" t="s">
        <v>429</v>
      </c>
      <c r="M20" s="349"/>
      <c r="N20" s="348" t="s">
        <v>381</v>
      </c>
      <c r="O20" s="348" t="s">
        <v>384</v>
      </c>
      <c r="P20" s="348" t="s">
        <v>376</v>
      </c>
      <c r="Q20" s="303"/>
      <c r="R20" s="341"/>
    </row>
    <row r="21" spans="1:18" s="305" customFormat="1" ht="24.95" customHeight="1">
      <c r="A21" s="351"/>
      <c r="B21" s="351"/>
      <c r="C21" s="353"/>
      <c r="D21" s="277"/>
      <c r="E21" s="277"/>
      <c r="F21" s="355"/>
      <c r="G21" s="277"/>
      <c r="H21" s="355"/>
      <c r="I21" s="355"/>
      <c r="J21" s="112"/>
      <c r="K21" s="360"/>
      <c r="L21" s="360"/>
      <c r="M21" s="285"/>
      <c r="N21" s="124" t="s">
        <v>381</v>
      </c>
      <c r="O21" s="124" t="s">
        <v>385</v>
      </c>
      <c r="P21" s="124" t="s">
        <v>376</v>
      </c>
      <c r="Q21" s="114"/>
      <c r="R21" s="122"/>
    </row>
    <row r="22" spans="1:18" s="244" customFormat="1" ht="33" customHeight="1">
      <c r="A22" s="339">
        <v>15</v>
      </c>
      <c r="B22" s="339" t="s">
        <v>363</v>
      </c>
      <c r="C22" s="341" t="s">
        <v>342</v>
      </c>
      <c r="D22" s="301" t="s">
        <v>327</v>
      </c>
      <c r="E22" s="301"/>
      <c r="F22" s="301" t="s">
        <v>327</v>
      </c>
      <c r="G22" s="301">
        <v>179000</v>
      </c>
      <c r="H22" s="343">
        <v>202</v>
      </c>
      <c r="I22" s="343">
        <v>202</v>
      </c>
      <c r="J22" s="343"/>
      <c r="K22" s="323" t="s">
        <v>418</v>
      </c>
      <c r="L22" s="345" t="s">
        <v>430</v>
      </c>
      <c r="M22" s="302"/>
      <c r="N22" s="348"/>
      <c r="O22" s="348"/>
      <c r="P22" s="348"/>
      <c r="Q22" s="303"/>
      <c r="R22" s="341"/>
    </row>
    <row r="23" spans="1:18" s="244" customFormat="1" ht="33" customHeight="1">
      <c r="A23" s="339">
        <v>16</v>
      </c>
      <c r="B23" s="339" t="s">
        <v>363</v>
      </c>
      <c r="C23" s="122" t="s">
        <v>343</v>
      </c>
      <c r="D23" s="277" t="s">
        <v>327</v>
      </c>
      <c r="E23" s="277"/>
      <c r="F23" s="277" t="s">
        <v>327</v>
      </c>
      <c r="G23" s="277">
        <v>179000</v>
      </c>
      <c r="H23" s="112">
        <v>25</v>
      </c>
      <c r="I23" s="112">
        <v>25</v>
      </c>
      <c r="J23" s="112"/>
      <c r="K23" s="273" t="s">
        <v>418</v>
      </c>
      <c r="L23" s="345" t="s">
        <v>430</v>
      </c>
      <c r="M23" s="281"/>
      <c r="N23" s="124"/>
      <c r="O23" s="124"/>
      <c r="P23" s="124"/>
      <c r="Q23" s="114"/>
      <c r="R23" s="122"/>
    </row>
    <row r="24" spans="1:18" s="244" customFormat="1" ht="24.95" customHeight="1">
      <c r="A24" s="339">
        <v>17</v>
      </c>
      <c r="B24" s="339" t="s">
        <v>365</v>
      </c>
      <c r="C24" s="122" t="s">
        <v>344</v>
      </c>
      <c r="D24" s="277" t="s">
        <v>327</v>
      </c>
      <c r="E24" s="277"/>
      <c r="F24" s="277" t="s">
        <v>327</v>
      </c>
      <c r="G24" s="277">
        <v>95700</v>
      </c>
      <c r="H24" s="112">
        <v>140</v>
      </c>
      <c r="I24" s="112">
        <v>140</v>
      </c>
      <c r="J24" s="112"/>
      <c r="K24" s="278" t="s">
        <v>419</v>
      </c>
      <c r="L24" s="278" t="s">
        <v>431</v>
      </c>
      <c r="M24" s="281"/>
      <c r="N24" s="124"/>
      <c r="O24" s="124"/>
      <c r="P24" s="124"/>
      <c r="Q24" s="114"/>
      <c r="R24" s="122"/>
    </row>
    <row r="25" spans="1:18" s="244" customFormat="1" ht="24.95" customHeight="1">
      <c r="A25" s="339">
        <v>18</v>
      </c>
      <c r="B25" s="339" t="s">
        <v>363</v>
      </c>
      <c r="C25" s="122" t="s">
        <v>345</v>
      </c>
      <c r="D25" s="277" t="s">
        <v>346</v>
      </c>
      <c r="E25" s="277"/>
      <c r="F25" s="277" t="s">
        <v>327</v>
      </c>
      <c r="G25" s="277">
        <v>877700</v>
      </c>
      <c r="H25" s="112">
        <v>2247</v>
      </c>
      <c r="I25" s="112">
        <v>52</v>
      </c>
      <c r="J25" s="112"/>
      <c r="K25" s="278" t="s">
        <v>362</v>
      </c>
      <c r="L25" s="278" t="s">
        <v>361</v>
      </c>
      <c r="M25" s="281"/>
      <c r="N25" s="124"/>
      <c r="O25" s="124"/>
      <c r="P25" s="124"/>
      <c r="Q25" s="114"/>
      <c r="R25" s="122"/>
    </row>
    <row r="26" spans="1:18" s="244" customFormat="1" ht="24.95" customHeight="1">
      <c r="A26" s="339">
        <v>19</v>
      </c>
      <c r="B26" s="339" t="s">
        <v>366</v>
      </c>
      <c r="C26" s="122" t="s">
        <v>347</v>
      </c>
      <c r="D26" s="277" t="s">
        <v>346</v>
      </c>
      <c r="E26" s="277"/>
      <c r="F26" s="277" t="s">
        <v>327</v>
      </c>
      <c r="G26" s="277">
        <v>99000</v>
      </c>
      <c r="H26" s="112">
        <v>379</v>
      </c>
      <c r="I26" s="112">
        <v>96</v>
      </c>
      <c r="J26" s="112"/>
      <c r="K26" s="278" t="s">
        <v>362</v>
      </c>
      <c r="L26" s="278" t="s">
        <v>361</v>
      </c>
      <c r="M26" s="281"/>
      <c r="N26" s="124"/>
      <c r="O26" s="124"/>
      <c r="P26" s="124"/>
      <c r="Q26" s="114"/>
      <c r="R26" s="122"/>
    </row>
    <row r="27" spans="1:18" s="244" customFormat="1" ht="24.95" customHeight="1">
      <c r="A27" s="339">
        <v>20</v>
      </c>
      <c r="B27" s="339" t="s">
        <v>366</v>
      </c>
      <c r="C27" s="122" t="s">
        <v>348</v>
      </c>
      <c r="D27" s="277" t="s">
        <v>346</v>
      </c>
      <c r="E27" s="277"/>
      <c r="F27" s="277" t="s">
        <v>327</v>
      </c>
      <c r="G27" s="277">
        <v>50600</v>
      </c>
      <c r="H27" s="112">
        <v>3830</v>
      </c>
      <c r="I27" s="112">
        <v>510</v>
      </c>
      <c r="J27" s="112"/>
      <c r="K27" s="278" t="s">
        <v>360</v>
      </c>
      <c r="L27" s="278" t="s">
        <v>368</v>
      </c>
      <c r="M27" s="281"/>
      <c r="N27" s="124"/>
      <c r="O27" s="124"/>
      <c r="P27" s="124"/>
      <c r="Q27" s="114"/>
      <c r="R27" s="122"/>
    </row>
    <row r="28" spans="1:18" s="244" customFormat="1" ht="24.95" customHeight="1">
      <c r="A28" s="339">
        <v>21</v>
      </c>
      <c r="B28" s="339" t="s">
        <v>366</v>
      </c>
      <c r="C28" s="122" t="s">
        <v>349</v>
      </c>
      <c r="D28" s="277" t="s">
        <v>346</v>
      </c>
      <c r="E28" s="277"/>
      <c r="F28" s="277" t="s">
        <v>327</v>
      </c>
      <c r="G28" s="277">
        <v>99000</v>
      </c>
      <c r="H28" s="112">
        <v>76</v>
      </c>
      <c r="I28" s="112">
        <v>76</v>
      </c>
      <c r="J28" s="112"/>
      <c r="K28" s="278" t="s">
        <v>362</v>
      </c>
      <c r="L28" s="278" t="s">
        <v>361</v>
      </c>
      <c r="M28" s="285"/>
      <c r="N28" s="124"/>
      <c r="O28" s="124"/>
      <c r="P28" s="124"/>
      <c r="Q28" s="114"/>
      <c r="R28" s="122"/>
    </row>
    <row r="29" spans="1:18" s="244" customFormat="1" ht="24.95" customHeight="1">
      <c r="A29" s="350">
        <v>22</v>
      </c>
      <c r="B29" s="350" t="s">
        <v>402</v>
      </c>
      <c r="C29" s="352" t="s">
        <v>403</v>
      </c>
      <c r="D29" s="342" t="s">
        <v>404</v>
      </c>
      <c r="E29" s="342"/>
      <c r="F29" s="354" t="s">
        <v>404</v>
      </c>
      <c r="G29" s="342">
        <v>101600</v>
      </c>
      <c r="H29" s="354">
        <v>19</v>
      </c>
      <c r="I29" s="354">
        <v>1</v>
      </c>
      <c r="J29" s="346"/>
      <c r="K29" s="358" t="s">
        <v>420</v>
      </c>
      <c r="L29" s="358" t="s">
        <v>432</v>
      </c>
      <c r="M29" s="361"/>
      <c r="N29" s="347" t="s">
        <v>408</v>
      </c>
      <c r="O29" s="347" t="s">
        <v>409</v>
      </c>
      <c r="P29" s="347" t="s">
        <v>205</v>
      </c>
      <c r="Q29" s="114"/>
      <c r="R29" s="122"/>
    </row>
    <row r="30" spans="1:18" s="244" customFormat="1" ht="24.95" customHeight="1">
      <c r="A30" s="364"/>
      <c r="B30" s="364"/>
      <c r="C30" s="365"/>
      <c r="D30" s="342"/>
      <c r="E30" s="342"/>
      <c r="F30" s="366"/>
      <c r="G30" s="342"/>
      <c r="H30" s="366"/>
      <c r="I30" s="366"/>
      <c r="J30" s="342"/>
      <c r="K30" s="359"/>
      <c r="L30" s="359"/>
      <c r="M30" s="362"/>
      <c r="N30" s="347" t="s">
        <v>405</v>
      </c>
      <c r="O30" s="347" t="s">
        <v>440</v>
      </c>
      <c r="P30" s="347" t="s">
        <v>205</v>
      </c>
      <c r="Q30" s="114"/>
      <c r="R30" s="122"/>
    </row>
    <row r="31" spans="1:18" s="244" customFormat="1" ht="24.95" customHeight="1">
      <c r="A31" s="364"/>
      <c r="B31" s="364"/>
      <c r="C31" s="365"/>
      <c r="D31" s="342"/>
      <c r="E31" s="342"/>
      <c r="F31" s="366"/>
      <c r="G31" s="342"/>
      <c r="H31" s="366"/>
      <c r="I31" s="366"/>
      <c r="J31" s="342"/>
      <c r="K31" s="359"/>
      <c r="L31" s="359"/>
      <c r="M31" s="362"/>
      <c r="N31" s="347" t="s">
        <v>406</v>
      </c>
      <c r="O31" s="347" t="s">
        <v>441</v>
      </c>
      <c r="P31" s="347" t="s">
        <v>205</v>
      </c>
      <c r="Q31" s="114"/>
      <c r="R31" s="122"/>
    </row>
    <row r="32" spans="1:18" s="244" customFormat="1" ht="24.95" customHeight="1">
      <c r="A32" s="351"/>
      <c r="B32" s="351"/>
      <c r="C32" s="353"/>
      <c r="D32" s="112"/>
      <c r="E32" s="112"/>
      <c r="F32" s="355"/>
      <c r="G32" s="112"/>
      <c r="H32" s="355"/>
      <c r="I32" s="355"/>
      <c r="J32" s="112"/>
      <c r="K32" s="360"/>
      <c r="L32" s="360"/>
      <c r="M32" s="363"/>
      <c r="N32" s="124" t="s">
        <v>407</v>
      </c>
      <c r="O32" s="124" t="s">
        <v>442</v>
      </c>
      <c r="P32" s="124" t="s">
        <v>205</v>
      </c>
      <c r="Q32" s="114"/>
      <c r="R32" s="122"/>
    </row>
    <row r="33" spans="1:18" s="244" customFormat="1" ht="24.95" customHeight="1">
      <c r="A33" s="364">
        <v>23</v>
      </c>
      <c r="B33" s="364" t="s">
        <v>366</v>
      </c>
      <c r="C33" s="365" t="s">
        <v>350</v>
      </c>
      <c r="D33" s="366" t="s">
        <v>351</v>
      </c>
      <c r="E33" s="366"/>
      <c r="F33" s="366" t="s">
        <v>351</v>
      </c>
      <c r="G33" s="366">
        <v>532100</v>
      </c>
      <c r="H33" s="366">
        <v>1072</v>
      </c>
      <c r="I33" s="366">
        <v>84</v>
      </c>
      <c r="J33" s="366"/>
      <c r="K33" s="345" t="s">
        <v>415</v>
      </c>
      <c r="L33" s="345" t="s">
        <v>433</v>
      </c>
      <c r="M33" s="349">
        <v>0.5</v>
      </c>
      <c r="N33" s="348" t="s">
        <v>379</v>
      </c>
      <c r="O33" s="348" t="s">
        <v>380</v>
      </c>
      <c r="P33" s="348" t="s">
        <v>376</v>
      </c>
      <c r="Q33" s="292"/>
      <c r="R33" s="341"/>
    </row>
    <row r="34" spans="1:18" s="244" customFormat="1" ht="24.95" customHeight="1">
      <c r="A34" s="364"/>
      <c r="B34" s="364"/>
      <c r="C34" s="365"/>
      <c r="D34" s="366"/>
      <c r="E34" s="366"/>
      <c r="F34" s="366"/>
      <c r="G34" s="366"/>
      <c r="H34" s="366"/>
      <c r="I34" s="366"/>
      <c r="J34" s="366"/>
      <c r="K34" s="278" t="s">
        <v>415</v>
      </c>
      <c r="L34" s="278" t="s">
        <v>425</v>
      </c>
      <c r="M34" s="286">
        <v>0.5</v>
      </c>
      <c r="N34" s="324"/>
      <c r="O34" s="324"/>
      <c r="P34" s="324"/>
      <c r="Q34" s="292"/>
      <c r="R34" s="325"/>
    </row>
    <row r="35" spans="1:18" s="244" customFormat="1" ht="24.95" customHeight="1">
      <c r="A35" s="111">
        <v>24</v>
      </c>
      <c r="B35" s="111" t="s">
        <v>366</v>
      </c>
      <c r="C35" s="122" t="s">
        <v>352</v>
      </c>
      <c r="D35" s="112" t="s">
        <v>353</v>
      </c>
      <c r="E35" s="112"/>
      <c r="F35" s="112" t="s">
        <v>353</v>
      </c>
      <c r="G35" s="112">
        <v>95700</v>
      </c>
      <c r="H35" s="112">
        <v>545</v>
      </c>
      <c r="I35" s="112">
        <v>241</v>
      </c>
      <c r="J35" s="112"/>
      <c r="K35" s="278" t="s">
        <v>360</v>
      </c>
      <c r="L35" s="278" t="s">
        <v>369</v>
      </c>
      <c r="M35" s="285"/>
      <c r="N35" s="124"/>
      <c r="O35" s="124"/>
      <c r="P35" s="124"/>
      <c r="Q35" s="115"/>
      <c r="R35" s="122"/>
    </row>
    <row r="36" spans="1:18" s="304" customFormat="1" ht="24.95" customHeight="1">
      <c r="A36" s="111">
        <v>25</v>
      </c>
      <c r="B36" s="111" t="s">
        <v>367</v>
      </c>
      <c r="C36" s="122" t="s">
        <v>354</v>
      </c>
      <c r="D36" s="277" t="s">
        <v>355</v>
      </c>
      <c r="E36" s="277"/>
      <c r="F36" s="112" t="s">
        <v>334</v>
      </c>
      <c r="G36" s="277">
        <v>269100</v>
      </c>
      <c r="H36" s="112">
        <v>899</v>
      </c>
      <c r="I36" s="112">
        <v>569</v>
      </c>
      <c r="J36" s="112"/>
      <c r="K36" s="278" t="s">
        <v>417</v>
      </c>
      <c r="L36" s="278" t="s">
        <v>434</v>
      </c>
      <c r="M36" s="285"/>
      <c r="N36" s="124" t="s">
        <v>381</v>
      </c>
      <c r="O36" s="124" t="s">
        <v>382</v>
      </c>
      <c r="P36" s="124" t="s">
        <v>383</v>
      </c>
      <c r="Q36" s="115"/>
      <c r="R36" s="122"/>
    </row>
    <row r="37" spans="1:18" s="306" customFormat="1" ht="24.95" customHeight="1">
      <c r="A37" s="311">
        <v>26</v>
      </c>
      <c r="B37" s="311" t="s">
        <v>367</v>
      </c>
      <c r="C37" s="331" t="s">
        <v>356</v>
      </c>
      <c r="D37" s="301" t="s">
        <v>355</v>
      </c>
      <c r="E37" s="301"/>
      <c r="F37" s="301" t="s">
        <v>334</v>
      </c>
      <c r="G37" s="328">
        <v>275500</v>
      </c>
      <c r="H37" s="330">
        <v>882</v>
      </c>
      <c r="I37" s="330">
        <v>529</v>
      </c>
      <c r="J37" s="330"/>
      <c r="K37" s="329" t="s">
        <v>360</v>
      </c>
      <c r="L37" s="329" t="s">
        <v>370</v>
      </c>
      <c r="M37" s="302"/>
      <c r="N37" s="332"/>
      <c r="O37" s="332"/>
      <c r="P37" s="332"/>
      <c r="Q37" s="292"/>
      <c r="R37" s="331"/>
    </row>
    <row r="38" spans="1:18" s="244" customFormat="1" ht="24.95" customHeight="1">
      <c r="A38" s="350">
        <v>27</v>
      </c>
      <c r="B38" s="350" t="s">
        <v>367</v>
      </c>
      <c r="C38" s="352" t="s">
        <v>357</v>
      </c>
      <c r="D38" s="354" t="s">
        <v>358</v>
      </c>
      <c r="E38" s="354"/>
      <c r="F38" s="354" t="s">
        <v>358</v>
      </c>
      <c r="G38" s="356">
        <v>188600</v>
      </c>
      <c r="H38" s="354">
        <v>1598</v>
      </c>
      <c r="I38" s="354">
        <v>456</v>
      </c>
      <c r="J38" s="354"/>
      <c r="K38" s="278" t="s">
        <v>254</v>
      </c>
      <c r="L38" s="278" t="s">
        <v>371</v>
      </c>
      <c r="M38" s="285">
        <v>0.5</v>
      </c>
      <c r="N38" s="124"/>
      <c r="O38" s="124"/>
      <c r="P38" s="124"/>
      <c r="Q38" s="115"/>
      <c r="R38" s="122"/>
    </row>
    <row r="39" spans="1:18" s="244" customFormat="1" ht="24.95" customHeight="1">
      <c r="A39" s="351"/>
      <c r="B39" s="351"/>
      <c r="C39" s="353"/>
      <c r="D39" s="355"/>
      <c r="E39" s="355"/>
      <c r="F39" s="355"/>
      <c r="G39" s="357"/>
      <c r="H39" s="355"/>
      <c r="I39" s="355"/>
      <c r="J39" s="355"/>
      <c r="K39" s="310" t="s">
        <v>421</v>
      </c>
      <c r="L39" s="310" t="s">
        <v>435</v>
      </c>
      <c r="M39" s="322">
        <v>0.5</v>
      </c>
      <c r="N39" s="282"/>
      <c r="O39" s="282"/>
      <c r="P39" s="282"/>
      <c r="Q39" s="292"/>
      <c r="R39" s="313"/>
    </row>
    <row r="40" spans="1:18" s="304" customFormat="1" ht="24.95" customHeight="1">
      <c r="A40" s="311">
        <v>28</v>
      </c>
      <c r="B40" s="311" t="s">
        <v>367</v>
      </c>
      <c r="C40" s="122" t="s">
        <v>359</v>
      </c>
      <c r="D40" s="277" t="s">
        <v>346</v>
      </c>
      <c r="E40" s="277"/>
      <c r="F40" s="277" t="s">
        <v>327</v>
      </c>
      <c r="G40" s="327">
        <v>38900</v>
      </c>
      <c r="H40" s="112">
        <v>694</v>
      </c>
      <c r="I40" s="112">
        <v>63</v>
      </c>
      <c r="J40" s="112"/>
      <c r="K40" s="278" t="s">
        <v>362</v>
      </c>
      <c r="L40" s="278" t="s">
        <v>372</v>
      </c>
      <c r="M40" s="285"/>
      <c r="N40" s="124"/>
      <c r="O40" s="124"/>
      <c r="P40" s="124"/>
      <c r="Q40" s="115"/>
      <c r="R40" s="122"/>
    </row>
    <row r="41" spans="1:18" s="244" customFormat="1" ht="24.95" customHeight="1">
      <c r="A41" s="293">
        <v>29</v>
      </c>
      <c r="B41" s="308" t="s">
        <v>391</v>
      </c>
      <c r="C41" s="309" t="s">
        <v>392</v>
      </c>
      <c r="D41" s="301" t="s">
        <v>338</v>
      </c>
      <c r="E41" s="301"/>
      <c r="F41" s="301" t="s">
        <v>387</v>
      </c>
      <c r="G41" s="301">
        <v>539200</v>
      </c>
      <c r="H41" s="300">
        <v>767</v>
      </c>
      <c r="I41" s="307">
        <v>4</v>
      </c>
      <c r="J41" s="300"/>
      <c r="K41" s="310" t="s">
        <v>419</v>
      </c>
      <c r="L41" s="310" t="s">
        <v>431</v>
      </c>
      <c r="M41" s="302"/>
      <c r="N41" s="282"/>
      <c r="O41" s="282"/>
      <c r="P41" s="282"/>
      <c r="Q41" s="303"/>
      <c r="R41" s="299"/>
    </row>
    <row r="42" spans="1:18" s="244" customFormat="1" ht="24.95" customHeight="1">
      <c r="A42" s="308">
        <v>30</v>
      </c>
      <c r="B42" s="308" t="s">
        <v>365</v>
      </c>
      <c r="C42" s="309" t="s">
        <v>386</v>
      </c>
      <c r="D42" s="301" t="s">
        <v>338</v>
      </c>
      <c r="E42" s="301"/>
      <c r="F42" s="301" t="s">
        <v>387</v>
      </c>
      <c r="G42" s="301">
        <v>555500</v>
      </c>
      <c r="H42" s="307">
        <v>746</v>
      </c>
      <c r="I42" s="307">
        <v>12</v>
      </c>
      <c r="J42" s="112"/>
      <c r="K42" s="278" t="s">
        <v>419</v>
      </c>
      <c r="L42" s="278" t="s">
        <v>431</v>
      </c>
      <c r="M42" s="281"/>
      <c r="N42" s="124"/>
      <c r="O42" s="124"/>
      <c r="P42" s="124"/>
      <c r="Q42" s="114"/>
      <c r="R42" s="122"/>
    </row>
    <row r="43" spans="1:18" s="244" customFormat="1" ht="24.95" customHeight="1">
      <c r="A43" s="308">
        <v>31</v>
      </c>
      <c r="B43" s="308" t="s">
        <v>365</v>
      </c>
      <c r="C43" s="122" t="s">
        <v>388</v>
      </c>
      <c r="D43" s="277" t="s">
        <v>338</v>
      </c>
      <c r="E43" s="277"/>
      <c r="F43" s="277" t="s">
        <v>387</v>
      </c>
      <c r="G43" s="277">
        <v>458300</v>
      </c>
      <c r="H43" s="112">
        <v>582</v>
      </c>
      <c r="I43" s="112">
        <v>4</v>
      </c>
      <c r="J43" s="112"/>
      <c r="K43" s="278" t="s">
        <v>422</v>
      </c>
      <c r="L43" s="278" t="s">
        <v>436</v>
      </c>
      <c r="M43" s="285"/>
      <c r="N43" s="124" t="s">
        <v>393</v>
      </c>
      <c r="O43" s="124" t="s">
        <v>394</v>
      </c>
      <c r="P43" s="124" t="s">
        <v>395</v>
      </c>
      <c r="Q43" s="114"/>
      <c r="R43" s="122"/>
    </row>
    <row r="44" spans="1:18" s="244" customFormat="1" ht="24.95" customHeight="1">
      <c r="A44" s="111">
        <v>32</v>
      </c>
      <c r="B44" s="111" t="s">
        <v>365</v>
      </c>
      <c r="C44" s="122" t="s">
        <v>389</v>
      </c>
      <c r="D44" s="277" t="s">
        <v>334</v>
      </c>
      <c r="E44" s="277"/>
      <c r="F44" s="277" t="s">
        <v>390</v>
      </c>
      <c r="G44" s="277">
        <v>313200</v>
      </c>
      <c r="H44" s="112">
        <v>651</v>
      </c>
      <c r="I44" s="112">
        <v>1</v>
      </c>
      <c r="J44" s="112"/>
      <c r="K44" s="278" t="s">
        <v>423</v>
      </c>
      <c r="L44" s="278" t="s">
        <v>437</v>
      </c>
      <c r="M44" s="285"/>
      <c r="N44" s="124" t="s">
        <v>396</v>
      </c>
      <c r="O44" s="124" t="s">
        <v>410</v>
      </c>
      <c r="P44" s="124" t="s">
        <v>395</v>
      </c>
      <c r="Q44" s="114"/>
      <c r="R44" s="122"/>
    </row>
    <row r="45" spans="1:18" s="244" customFormat="1" ht="24.95" hidden="1" customHeight="1">
      <c r="A45" s="350"/>
      <c r="B45" s="350"/>
      <c r="C45" s="352"/>
      <c r="D45" s="277"/>
      <c r="E45" s="277"/>
      <c r="F45" s="354"/>
      <c r="G45" s="277"/>
      <c r="H45" s="354"/>
      <c r="I45" s="354"/>
      <c r="J45" s="112"/>
      <c r="K45" s="278"/>
      <c r="L45" s="278"/>
      <c r="M45" s="285"/>
      <c r="N45" s="124"/>
      <c r="O45" s="124"/>
      <c r="P45" s="124"/>
      <c r="Q45" s="114"/>
      <c r="R45" s="122"/>
    </row>
    <row r="46" spans="1:18" s="244" customFormat="1" ht="24.95" hidden="1" customHeight="1">
      <c r="A46" s="351"/>
      <c r="B46" s="351"/>
      <c r="C46" s="353"/>
      <c r="D46" s="277"/>
      <c r="E46" s="277"/>
      <c r="F46" s="355"/>
      <c r="G46" s="277"/>
      <c r="H46" s="355"/>
      <c r="I46" s="355"/>
      <c r="J46" s="112"/>
      <c r="K46" s="278"/>
      <c r="L46" s="278"/>
      <c r="M46" s="285"/>
      <c r="N46" s="124"/>
      <c r="O46" s="124"/>
      <c r="P46" s="124"/>
      <c r="Q46" s="114"/>
      <c r="R46" s="122"/>
    </row>
    <row r="47" spans="1:18" s="244" customFormat="1" ht="24.95" customHeight="1">
      <c r="A47" s="111">
        <v>33</v>
      </c>
      <c r="B47" s="111" t="s">
        <v>398</v>
      </c>
      <c r="C47" s="122" t="s">
        <v>399</v>
      </c>
      <c r="D47" s="277" t="s">
        <v>400</v>
      </c>
      <c r="E47" s="277"/>
      <c r="F47" s="277" t="s">
        <v>400</v>
      </c>
      <c r="G47" s="277">
        <v>539200</v>
      </c>
      <c r="H47" s="112">
        <v>482</v>
      </c>
      <c r="I47" s="112">
        <v>4</v>
      </c>
      <c r="J47" s="112"/>
      <c r="K47" s="278" t="s">
        <v>417</v>
      </c>
      <c r="L47" s="278" t="s">
        <v>428</v>
      </c>
      <c r="M47" s="285"/>
      <c r="N47" s="124"/>
      <c r="O47" s="124"/>
      <c r="P47" s="124"/>
      <c r="Q47" s="114"/>
      <c r="R47" s="122"/>
    </row>
    <row r="48" spans="1:18" s="244" customFormat="1" ht="24.95" hidden="1" customHeight="1">
      <c r="A48" s="293"/>
      <c r="B48" s="293"/>
      <c r="C48" s="122"/>
      <c r="D48" s="277"/>
      <c r="E48" s="277"/>
      <c r="F48" s="277"/>
      <c r="G48" s="277"/>
      <c r="H48" s="112"/>
      <c r="I48" s="298"/>
      <c r="J48" s="112"/>
      <c r="K48" s="278"/>
      <c r="L48" s="278"/>
      <c r="M48" s="285"/>
      <c r="N48" s="124"/>
      <c r="O48" s="124"/>
      <c r="P48" s="124"/>
      <c r="Q48" s="114"/>
      <c r="R48" s="122"/>
    </row>
    <row r="49" spans="1:18" s="244" customFormat="1" ht="24.95" hidden="1" customHeight="1">
      <c r="A49" s="293"/>
      <c r="B49" s="293"/>
      <c r="C49" s="122"/>
      <c r="D49" s="277"/>
      <c r="E49" s="277"/>
      <c r="F49" s="277"/>
      <c r="G49" s="277"/>
      <c r="H49" s="112"/>
      <c r="I49" s="298"/>
      <c r="J49" s="112"/>
      <c r="K49" s="278"/>
      <c r="L49" s="278"/>
      <c r="M49" s="285"/>
      <c r="N49" s="124"/>
      <c r="O49" s="124"/>
      <c r="P49" s="124"/>
      <c r="Q49" s="115"/>
      <c r="R49" s="122"/>
    </row>
    <row r="50" spans="1:18" s="244" customFormat="1" ht="24.95" hidden="1" customHeight="1">
      <c r="A50" s="350"/>
      <c r="B50" s="350"/>
      <c r="C50" s="352"/>
      <c r="D50" s="354"/>
      <c r="E50" s="354"/>
      <c r="F50" s="354"/>
      <c r="G50" s="354"/>
      <c r="H50" s="354"/>
      <c r="I50" s="372"/>
      <c r="J50" s="354"/>
      <c r="K50" s="273"/>
      <c r="L50" s="273"/>
      <c r="M50" s="281"/>
      <c r="N50" s="274"/>
      <c r="O50" s="274"/>
      <c r="P50" s="274"/>
      <c r="Q50" s="284"/>
      <c r="R50" s="295"/>
    </row>
    <row r="51" spans="1:18" s="244" customFormat="1" ht="24.95" hidden="1" customHeight="1">
      <c r="A51" s="351"/>
      <c r="B51" s="351"/>
      <c r="C51" s="353"/>
      <c r="D51" s="355"/>
      <c r="E51" s="355"/>
      <c r="F51" s="355"/>
      <c r="G51" s="355"/>
      <c r="H51" s="355"/>
      <c r="I51" s="373"/>
      <c r="J51" s="355"/>
      <c r="K51" s="275"/>
      <c r="L51" s="275"/>
      <c r="M51" s="286"/>
      <c r="N51" s="276"/>
      <c r="O51" s="276"/>
      <c r="P51" s="276"/>
      <c r="Q51" s="290"/>
      <c r="R51" s="297"/>
    </row>
    <row r="52" spans="1:18" s="244" customFormat="1" ht="24.95" hidden="1" customHeight="1">
      <c r="A52" s="293"/>
      <c r="B52" s="293"/>
      <c r="C52" s="122"/>
      <c r="D52" s="277"/>
      <c r="E52" s="277"/>
      <c r="F52" s="277"/>
      <c r="G52" s="277"/>
      <c r="H52" s="112"/>
      <c r="I52" s="298"/>
      <c r="J52" s="112"/>
      <c r="K52" s="278"/>
      <c r="L52" s="278"/>
      <c r="M52" s="281"/>
      <c r="N52" s="124"/>
      <c r="O52" s="124"/>
      <c r="P52" s="124"/>
      <c r="Q52" s="115"/>
      <c r="R52" s="122"/>
    </row>
    <row r="53" spans="1:18" s="244" customFormat="1" ht="24.95" hidden="1" customHeight="1">
      <c r="A53" s="350"/>
      <c r="B53" s="350"/>
      <c r="C53" s="352"/>
      <c r="D53" s="354"/>
      <c r="E53" s="354"/>
      <c r="F53" s="354"/>
      <c r="G53" s="354"/>
      <c r="H53" s="354"/>
      <c r="I53" s="372"/>
      <c r="J53" s="354"/>
      <c r="K53" s="273"/>
      <c r="L53" s="273"/>
      <c r="M53" s="281"/>
      <c r="N53" s="274"/>
      <c r="O53" s="274"/>
      <c r="P53" s="274"/>
      <c r="Q53" s="284"/>
      <c r="R53" s="295"/>
    </row>
    <row r="54" spans="1:18" s="244" customFormat="1" ht="24.95" hidden="1" customHeight="1">
      <c r="A54" s="351"/>
      <c r="B54" s="351"/>
      <c r="C54" s="353"/>
      <c r="D54" s="355"/>
      <c r="E54" s="355"/>
      <c r="F54" s="355"/>
      <c r="G54" s="355"/>
      <c r="H54" s="355"/>
      <c r="I54" s="373"/>
      <c r="J54" s="355"/>
      <c r="K54" s="275"/>
      <c r="L54" s="275"/>
      <c r="M54" s="286"/>
      <c r="N54" s="276"/>
      <c r="O54" s="276"/>
      <c r="P54" s="276"/>
      <c r="Q54" s="290"/>
      <c r="R54" s="297"/>
    </row>
    <row r="55" spans="1:18" s="244" customFormat="1" ht="24.95" hidden="1" customHeight="1">
      <c r="A55" s="350"/>
      <c r="B55" s="350"/>
      <c r="C55" s="352"/>
      <c r="D55" s="354"/>
      <c r="E55" s="354"/>
      <c r="F55" s="354"/>
      <c r="G55" s="354"/>
      <c r="H55" s="354"/>
      <c r="I55" s="372"/>
      <c r="J55" s="354"/>
      <c r="K55" s="273"/>
      <c r="L55" s="273"/>
      <c r="M55" s="281"/>
      <c r="N55" s="274"/>
      <c r="O55" s="274"/>
      <c r="P55" s="274"/>
      <c r="Q55" s="284"/>
      <c r="R55" s="122"/>
    </row>
    <row r="56" spans="1:18" s="244" customFormat="1" ht="24.95" hidden="1" customHeight="1">
      <c r="A56" s="351"/>
      <c r="B56" s="351"/>
      <c r="C56" s="353"/>
      <c r="D56" s="355"/>
      <c r="E56" s="355"/>
      <c r="F56" s="355"/>
      <c r="G56" s="355"/>
      <c r="H56" s="355"/>
      <c r="I56" s="373"/>
      <c r="J56" s="355"/>
      <c r="K56" s="275"/>
      <c r="L56" s="275"/>
      <c r="M56" s="286"/>
      <c r="N56" s="276"/>
      <c r="O56" s="276"/>
      <c r="P56" s="276"/>
      <c r="Q56" s="290"/>
      <c r="R56" s="297"/>
    </row>
    <row r="57" spans="1:18" s="244" customFormat="1" ht="24.95" hidden="1" customHeight="1">
      <c r="A57" s="350"/>
      <c r="B57" s="350"/>
      <c r="C57" s="352"/>
      <c r="D57" s="354"/>
      <c r="E57" s="354"/>
      <c r="F57" s="354"/>
      <c r="G57" s="354"/>
      <c r="H57" s="354"/>
      <c r="I57" s="372"/>
      <c r="J57" s="354"/>
      <c r="K57" s="273"/>
      <c r="L57" s="273"/>
      <c r="M57" s="281"/>
      <c r="N57" s="274"/>
      <c r="O57" s="274"/>
      <c r="P57" s="274"/>
      <c r="Q57" s="284"/>
      <c r="R57" s="295"/>
    </row>
    <row r="58" spans="1:18" s="244" customFormat="1" ht="24.95" hidden="1" customHeight="1">
      <c r="A58" s="351"/>
      <c r="B58" s="351"/>
      <c r="C58" s="353"/>
      <c r="D58" s="355"/>
      <c r="E58" s="355"/>
      <c r="F58" s="355"/>
      <c r="G58" s="355"/>
      <c r="H58" s="355"/>
      <c r="I58" s="373"/>
      <c r="J58" s="355"/>
      <c r="K58" s="275"/>
      <c r="L58" s="275"/>
      <c r="M58" s="286"/>
      <c r="N58" s="276"/>
      <c r="O58" s="276"/>
      <c r="P58" s="276"/>
      <c r="Q58" s="290"/>
      <c r="R58" s="297"/>
    </row>
    <row r="59" spans="1:18" s="244" customFormat="1" ht="24.95" hidden="1" customHeight="1">
      <c r="A59" s="350"/>
      <c r="B59" s="350"/>
      <c r="C59" s="352"/>
      <c r="D59" s="354"/>
      <c r="E59" s="354"/>
      <c r="F59" s="354"/>
      <c r="G59" s="354"/>
      <c r="H59" s="354"/>
      <c r="I59" s="372"/>
      <c r="J59" s="354"/>
      <c r="K59" s="273"/>
      <c r="L59" s="273"/>
      <c r="M59" s="281"/>
      <c r="N59" s="274"/>
      <c r="O59" s="274"/>
      <c r="P59" s="274"/>
      <c r="Q59" s="284"/>
      <c r="R59" s="295"/>
    </row>
    <row r="60" spans="1:18" s="244" customFormat="1" ht="24.95" hidden="1" customHeight="1">
      <c r="A60" s="364"/>
      <c r="B60" s="364"/>
      <c r="C60" s="365"/>
      <c r="D60" s="366"/>
      <c r="E60" s="366"/>
      <c r="F60" s="366"/>
      <c r="G60" s="366"/>
      <c r="H60" s="366"/>
      <c r="I60" s="377"/>
      <c r="J60" s="366"/>
      <c r="K60" s="279"/>
      <c r="L60" s="279"/>
      <c r="M60" s="289"/>
      <c r="N60" s="280"/>
      <c r="O60" s="280"/>
      <c r="P60" s="280"/>
      <c r="Q60" s="291"/>
      <c r="R60" s="296"/>
    </row>
    <row r="61" spans="1:18" s="244" customFormat="1" ht="24.95" hidden="1" customHeight="1">
      <c r="A61" s="364"/>
      <c r="B61" s="364"/>
      <c r="C61" s="365"/>
      <c r="D61" s="366"/>
      <c r="E61" s="366"/>
      <c r="F61" s="366"/>
      <c r="G61" s="366"/>
      <c r="H61" s="366"/>
      <c r="I61" s="377"/>
      <c r="J61" s="366"/>
      <c r="K61" s="279"/>
      <c r="L61" s="279"/>
      <c r="M61" s="289"/>
      <c r="N61" s="280"/>
      <c r="O61" s="280"/>
      <c r="P61" s="280"/>
      <c r="Q61" s="291"/>
      <c r="R61" s="296"/>
    </row>
    <row r="62" spans="1:18" s="244" customFormat="1" ht="24.95" hidden="1" customHeight="1">
      <c r="A62" s="364"/>
      <c r="B62" s="364"/>
      <c r="C62" s="365"/>
      <c r="D62" s="366"/>
      <c r="E62" s="366"/>
      <c r="F62" s="366"/>
      <c r="G62" s="366"/>
      <c r="H62" s="366"/>
      <c r="I62" s="377"/>
      <c r="J62" s="366"/>
      <c r="K62" s="279"/>
      <c r="L62" s="279"/>
      <c r="M62" s="289"/>
      <c r="N62" s="280"/>
      <c r="O62" s="280"/>
      <c r="P62" s="280"/>
      <c r="Q62" s="288"/>
      <c r="R62" s="296"/>
    </row>
    <row r="63" spans="1:18" s="244" customFormat="1" ht="24.95" hidden="1" customHeight="1">
      <c r="A63" s="351"/>
      <c r="B63" s="351"/>
      <c r="C63" s="353"/>
      <c r="D63" s="355"/>
      <c r="E63" s="355"/>
      <c r="F63" s="355"/>
      <c r="G63" s="355"/>
      <c r="H63" s="355"/>
      <c r="I63" s="373"/>
      <c r="J63" s="355"/>
      <c r="K63" s="275"/>
      <c r="L63" s="275"/>
      <c r="M63" s="286"/>
      <c r="N63" s="276"/>
      <c r="O63" s="276"/>
      <c r="P63" s="276"/>
      <c r="Q63" s="287"/>
      <c r="R63" s="297"/>
    </row>
    <row r="64" spans="1:18" s="244" customFormat="1" ht="24.95" hidden="1" customHeight="1">
      <c r="A64" s="350"/>
      <c r="B64" s="350"/>
      <c r="C64" s="352"/>
      <c r="D64" s="354"/>
      <c r="E64" s="354"/>
      <c r="F64" s="354"/>
      <c r="G64" s="354"/>
      <c r="H64" s="354"/>
      <c r="I64" s="372"/>
      <c r="J64" s="354"/>
      <c r="K64" s="273"/>
      <c r="L64" s="273"/>
      <c r="M64" s="281"/>
      <c r="N64" s="274"/>
      <c r="O64" s="274"/>
      <c r="P64" s="274"/>
      <c r="Q64" s="284"/>
      <c r="R64" s="295"/>
    </row>
    <row r="65" spans="1:18" s="244" customFormat="1" ht="24.95" hidden="1" customHeight="1">
      <c r="A65" s="351"/>
      <c r="B65" s="351"/>
      <c r="C65" s="353"/>
      <c r="D65" s="355"/>
      <c r="E65" s="355"/>
      <c r="F65" s="355"/>
      <c r="G65" s="355"/>
      <c r="H65" s="355"/>
      <c r="I65" s="373"/>
      <c r="J65" s="355"/>
      <c r="K65" s="275"/>
      <c r="L65" s="275"/>
      <c r="M65" s="286"/>
      <c r="N65" s="276"/>
      <c r="O65" s="276"/>
      <c r="P65" s="276"/>
      <c r="Q65" s="290"/>
      <c r="R65" s="297"/>
    </row>
    <row r="66" spans="1:18" s="244" customFormat="1" ht="24.95" hidden="1" customHeight="1">
      <c r="A66" s="381"/>
      <c r="B66" s="381"/>
      <c r="C66" s="384"/>
      <c r="D66" s="374"/>
      <c r="E66" s="374"/>
      <c r="F66" s="374"/>
      <c r="G66" s="374"/>
      <c r="H66" s="374"/>
      <c r="I66" s="387"/>
      <c r="J66" s="374"/>
      <c r="K66" s="273"/>
      <c r="L66" s="273"/>
      <c r="M66" s="281"/>
      <c r="N66" s="274"/>
      <c r="O66" s="274"/>
      <c r="P66" s="274"/>
      <c r="Q66" s="284"/>
      <c r="R66" s="295"/>
    </row>
    <row r="67" spans="1:18" s="244" customFormat="1" ht="24.95" hidden="1" customHeight="1">
      <c r="A67" s="382"/>
      <c r="B67" s="382"/>
      <c r="C67" s="385"/>
      <c r="D67" s="375"/>
      <c r="E67" s="375"/>
      <c r="F67" s="375"/>
      <c r="G67" s="375"/>
      <c r="H67" s="375"/>
      <c r="I67" s="388"/>
      <c r="J67" s="375"/>
      <c r="K67" s="279"/>
      <c r="L67" s="279"/>
      <c r="M67" s="289"/>
      <c r="N67" s="280"/>
      <c r="O67" s="280"/>
      <c r="P67" s="280"/>
      <c r="Q67" s="291"/>
      <c r="R67" s="296"/>
    </row>
    <row r="68" spans="1:18" s="244" customFormat="1" ht="24.95" hidden="1" customHeight="1">
      <c r="A68" s="383"/>
      <c r="B68" s="383"/>
      <c r="C68" s="386"/>
      <c r="D68" s="376"/>
      <c r="E68" s="376"/>
      <c r="F68" s="376"/>
      <c r="G68" s="376"/>
      <c r="H68" s="376"/>
      <c r="I68" s="389"/>
      <c r="J68" s="376"/>
      <c r="K68" s="275"/>
      <c r="L68" s="275"/>
      <c r="M68" s="286"/>
      <c r="N68" s="276"/>
      <c r="O68" s="276"/>
      <c r="P68" s="276"/>
      <c r="Q68" s="290"/>
      <c r="R68" s="297"/>
    </row>
    <row r="69" spans="1:18" s="244" customFormat="1" ht="24.95" hidden="1" customHeight="1">
      <c r="A69" s="293"/>
      <c r="B69" s="293"/>
      <c r="C69" s="122"/>
      <c r="D69" s="277"/>
      <c r="E69" s="277"/>
      <c r="F69" s="277"/>
      <c r="G69" s="277"/>
      <c r="H69" s="112"/>
      <c r="I69" s="298"/>
      <c r="J69" s="112"/>
      <c r="K69" s="278"/>
      <c r="L69" s="278"/>
      <c r="M69" s="281"/>
      <c r="N69" s="124"/>
      <c r="O69" s="282"/>
      <c r="P69" s="282"/>
      <c r="Q69" s="292"/>
      <c r="R69" s="294"/>
    </row>
    <row r="70" spans="1:18" s="244" customFormat="1" ht="24.95" hidden="1" customHeight="1">
      <c r="A70" s="293"/>
      <c r="B70" s="293"/>
      <c r="C70" s="122"/>
      <c r="D70" s="277"/>
      <c r="E70" s="277"/>
      <c r="F70" s="277"/>
      <c r="G70" s="277"/>
      <c r="H70" s="112"/>
      <c r="I70" s="298"/>
      <c r="J70" s="112"/>
      <c r="K70" s="278"/>
      <c r="L70" s="278"/>
      <c r="M70" s="281"/>
      <c r="N70" s="124"/>
      <c r="O70" s="124"/>
      <c r="P70" s="124"/>
      <c r="Q70" s="115"/>
      <c r="R70" s="122"/>
    </row>
    <row r="71" spans="1:18" s="244" customFormat="1" ht="24.95" hidden="1" customHeight="1">
      <c r="A71" s="293"/>
      <c r="B71" s="293"/>
      <c r="C71" s="122"/>
      <c r="D71" s="277"/>
      <c r="E71" s="277"/>
      <c r="F71" s="277"/>
      <c r="G71" s="277"/>
      <c r="H71" s="112"/>
      <c r="I71" s="298"/>
      <c r="J71" s="112"/>
      <c r="K71" s="278"/>
      <c r="L71" s="278"/>
      <c r="M71" s="281"/>
      <c r="N71" s="124"/>
      <c r="O71" s="124"/>
      <c r="P71" s="124"/>
      <c r="Q71" s="115"/>
      <c r="R71" s="122"/>
    </row>
    <row r="72" spans="1:18" s="140" customFormat="1" ht="30.75" hidden="1" customHeight="1">
      <c r="A72" s="111"/>
      <c r="B72" s="111"/>
      <c r="C72" s="122"/>
      <c r="D72" s="277"/>
      <c r="E72" s="277"/>
      <c r="F72" s="277"/>
      <c r="G72" s="277"/>
      <c r="H72" s="112"/>
      <c r="I72" s="298"/>
      <c r="J72" s="112"/>
      <c r="K72" s="278"/>
      <c r="L72" s="278"/>
      <c r="M72" s="285"/>
      <c r="N72" s="124"/>
      <c r="O72" s="124"/>
      <c r="P72" s="124"/>
      <c r="Q72" s="115"/>
      <c r="R72" s="122"/>
    </row>
    <row r="73" spans="1:18" s="244" customFormat="1" ht="30.75" hidden="1" customHeight="1">
      <c r="A73" s="350"/>
      <c r="B73" s="350"/>
      <c r="C73" s="352"/>
      <c r="D73" s="354"/>
      <c r="E73" s="354"/>
      <c r="F73" s="354"/>
      <c r="G73" s="354"/>
      <c r="H73" s="354"/>
      <c r="I73" s="372"/>
      <c r="J73" s="354"/>
      <c r="K73" s="273"/>
      <c r="L73" s="273"/>
      <c r="M73" s="281"/>
      <c r="N73" s="274"/>
      <c r="O73" s="274"/>
      <c r="P73" s="274"/>
      <c r="Q73" s="284"/>
      <c r="R73" s="295"/>
    </row>
    <row r="74" spans="1:18" s="244" customFormat="1" ht="24.95" hidden="1" customHeight="1">
      <c r="A74" s="351"/>
      <c r="B74" s="351"/>
      <c r="C74" s="353"/>
      <c r="D74" s="355"/>
      <c r="E74" s="355"/>
      <c r="F74" s="355"/>
      <c r="G74" s="355"/>
      <c r="H74" s="355"/>
      <c r="I74" s="373"/>
      <c r="J74" s="355"/>
      <c r="K74" s="275"/>
      <c r="L74" s="275"/>
      <c r="M74" s="286"/>
      <c r="N74" s="276"/>
      <c r="O74" s="276"/>
      <c r="P74" s="276"/>
      <c r="Q74" s="290"/>
      <c r="R74" s="297"/>
    </row>
    <row r="75" spans="1:18" s="244" customFormat="1" ht="24.95" hidden="1" customHeight="1">
      <c r="A75" s="111"/>
      <c r="B75" s="111"/>
      <c r="C75" s="122"/>
      <c r="D75" s="277"/>
      <c r="E75" s="277"/>
      <c r="F75" s="277"/>
      <c r="G75" s="277"/>
      <c r="H75" s="112"/>
      <c r="I75" s="298"/>
      <c r="J75" s="112"/>
      <c r="K75" s="278"/>
      <c r="L75" s="278"/>
      <c r="M75" s="285"/>
      <c r="N75" s="124"/>
      <c r="O75" s="124"/>
      <c r="P75" s="124"/>
      <c r="Q75" s="115"/>
      <c r="R75" s="122"/>
    </row>
    <row r="76" spans="1:18" s="244" customFormat="1" ht="24.95" hidden="1" customHeight="1">
      <c r="A76" s="293"/>
      <c r="B76" s="293"/>
      <c r="C76" s="122"/>
      <c r="D76" s="277"/>
      <c r="E76" s="277"/>
      <c r="F76" s="277"/>
      <c r="G76" s="277"/>
      <c r="H76" s="112"/>
      <c r="I76" s="298"/>
      <c r="J76" s="112"/>
      <c r="K76" s="278"/>
      <c r="L76" s="278"/>
      <c r="M76" s="281"/>
      <c r="N76" s="124"/>
      <c r="O76" s="124"/>
      <c r="P76" s="124"/>
      <c r="Q76" s="115"/>
      <c r="R76" s="122"/>
    </row>
    <row r="77" spans="1:18" s="244" customFormat="1" ht="24.95" hidden="1" customHeight="1">
      <c r="A77" s="350"/>
      <c r="B77" s="350"/>
      <c r="C77" s="352"/>
      <c r="D77" s="354"/>
      <c r="E77" s="354"/>
      <c r="F77" s="354"/>
      <c r="G77" s="354"/>
      <c r="H77" s="354"/>
      <c r="I77" s="372"/>
      <c r="J77" s="354"/>
      <c r="K77" s="273"/>
      <c r="L77" s="273"/>
      <c r="M77" s="281"/>
      <c r="N77" s="274"/>
      <c r="O77" s="274"/>
      <c r="P77" s="274"/>
      <c r="Q77" s="283"/>
      <c r="R77" s="295"/>
    </row>
    <row r="78" spans="1:18" s="244" customFormat="1" ht="24.95" hidden="1" customHeight="1">
      <c r="A78" s="351"/>
      <c r="B78" s="351"/>
      <c r="C78" s="353"/>
      <c r="D78" s="355"/>
      <c r="E78" s="355"/>
      <c r="F78" s="355"/>
      <c r="G78" s="355"/>
      <c r="H78" s="355"/>
      <c r="I78" s="373"/>
      <c r="J78" s="355"/>
      <c r="K78" s="275"/>
      <c r="L78" s="275"/>
      <c r="M78" s="286"/>
      <c r="N78" s="276"/>
      <c r="O78" s="276"/>
      <c r="P78" s="276"/>
      <c r="Q78" s="290"/>
      <c r="R78" s="297"/>
    </row>
    <row r="79" spans="1:18" s="140" customFormat="1" ht="24.95" customHeight="1">
      <c r="A79" s="378" t="s">
        <v>1</v>
      </c>
      <c r="B79" s="379"/>
      <c r="C79" s="379"/>
      <c r="D79" s="379"/>
      <c r="E79" s="379"/>
      <c r="F79" s="379"/>
      <c r="G79" s="379"/>
      <c r="H79" s="380"/>
      <c r="I79" s="112">
        <f>SUM(I4:I78)</f>
        <v>4958</v>
      </c>
      <c r="J79" s="112">
        <f>SUM(J4:J78)</f>
        <v>0</v>
      </c>
      <c r="K79" s="265"/>
      <c r="L79" s="266"/>
      <c r="M79" s="266"/>
      <c r="N79" s="267"/>
      <c r="O79" s="267"/>
      <c r="P79" s="267"/>
      <c r="Q79" s="267"/>
      <c r="R79" s="268"/>
    </row>
  </sheetData>
  <mergeCells count="167">
    <mergeCell ref="A1:R1"/>
    <mergeCell ref="C2:C3"/>
    <mergeCell ref="F2:F3"/>
    <mergeCell ref="H2:H3"/>
    <mergeCell ref="K2:M2"/>
    <mergeCell ref="B2:B3"/>
    <mergeCell ref="R2:R3"/>
    <mergeCell ref="A33:A34"/>
    <mergeCell ref="B33:B34"/>
    <mergeCell ref="C33:C34"/>
    <mergeCell ref="F33:F34"/>
    <mergeCell ref="G33:G34"/>
    <mergeCell ref="H33:H34"/>
    <mergeCell ref="I33:I34"/>
    <mergeCell ref="J33:J34"/>
    <mergeCell ref="E33:E34"/>
    <mergeCell ref="D33:D34"/>
    <mergeCell ref="D2:D3"/>
    <mergeCell ref="I2:J3"/>
    <mergeCell ref="A11:A13"/>
    <mergeCell ref="B11:B13"/>
    <mergeCell ref="C11:C13"/>
    <mergeCell ref="I11:I13"/>
    <mergeCell ref="K11:K13"/>
    <mergeCell ref="A79:H79"/>
    <mergeCell ref="A38:A39"/>
    <mergeCell ref="A66:A68"/>
    <mergeCell ref="B66:B68"/>
    <mergeCell ref="C66:C68"/>
    <mergeCell ref="F66:F68"/>
    <mergeCell ref="G66:G68"/>
    <mergeCell ref="H66:H68"/>
    <mergeCell ref="I66:I68"/>
    <mergeCell ref="A50:A51"/>
    <mergeCell ref="B50:B51"/>
    <mergeCell ref="C50:C51"/>
    <mergeCell ref="F50:F51"/>
    <mergeCell ref="G50:G51"/>
    <mergeCell ref="H50:H51"/>
    <mergeCell ref="I50:I51"/>
    <mergeCell ref="A53:A54"/>
    <mergeCell ref="B53:B54"/>
    <mergeCell ref="C53:C54"/>
    <mergeCell ref="F53:F54"/>
    <mergeCell ref="G53:G54"/>
    <mergeCell ref="H53:H54"/>
    <mergeCell ref="I53:I54"/>
    <mergeCell ref="D50:D51"/>
    <mergeCell ref="D53:D54"/>
    <mergeCell ref="A59:A63"/>
    <mergeCell ref="B59:B63"/>
    <mergeCell ref="C59:C63"/>
    <mergeCell ref="F59:F63"/>
    <mergeCell ref="G59:G63"/>
    <mergeCell ref="H59:H63"/>
    <mergeCell ref="I59:I63"/>
    <mergeCell ref="J59:J63"/>
    <mergeCell ref="A64:A65"/>
    <mergeCell ref="B64:B65"/>
    <mergeCell ref="C64:C65"/>
    <mergeCell ref="F64:F65"/>
    <mergeCell ref="G64:G65"/>
    <mergeCell ref="H64:H65"/>
    <mergeCell ref="I64:I65"/>
    <mergeCell ref="J64:J65"/>
    <mergeCell ref="A55:A56"/>
    <mergeCell ref="B55:B56"/>
    <mergeCell ref="C55:C56"/>
    <mergeCell ref="F55:F56"/>
    <mergeCell ref="G55:G56"/>
    <mergeCell ref="H55:H56"/>
    <mergeCell ref="I55:I56"/>
    <mergeCell ref="J55:J56"/>
    <mergeCell ref="A57:A58"/>
    <mergeCell ref="B57:B58"/>
    <mergeCell ref="C57:C58"/>
    <mergeCell ref="F57:F58"/>
    <mergeCell ref="G57:G58"/>
    <mergeCell ref="H57:H58"/>
    <mergeCell ref="D55:D56"/>
    <mergeCell ref="I57:I58"/>
    <mergeCell ref="J57:J58"/>
    <mergeCell ref="A77:A78"/>
    <mergeCell ref="B77:B78"/>
    <mergeCell ref="C77:C78"/>
    <mergeCell ref="F77:F78"/>
    <mergeCell ref="G77:G78"/>
    <mergeCell ref="H77:H78"/>
    <mergeCell ref="I77:I78"/>
    <mergeCell ref="J77:J78"/>
    <mergeCell ref="D57:D58"/>
    <mergeCell ref="D59:D63"/>
    <mergeCell ref="D64:D65"/>
    <mergeCell ref="D66:D68"/>
    <mergeCell ref="D73:D74"/>
    <mergeCell ref="D77:D78"/>
    <mergeCell ref="A73:A74"/>
    <mergeCell ref="B73:B74"/>
    <mergeCell ref="C73:C74"/>
    <mergeCell ref="F73:F74"/>
    <mergeCell ref="G73:G74"/>
    <mergeCell ref="H73:H74"/>
    <mergeCell ref="I73:I74"/>
    <mergeCell ref="J73:J74"/>
    <mergeCell ref="J66:J68"/>
    <mergeCell ref="E66:E68"/>
    <mergeCell ref="Q2:Q3"/>
    <mergeCell ref="F14:F15"/>
    <mergeCell ref="H14:H15"/>
    <mergeCell ref="I14:I15"/>
    <mergeCell ref="J14:J15"/>
    <mergeCell ref="N14:N15"/>
    <mergeCell ref="O14:O15"/>
    <mergeCell ref="P14:P15"/>
    <mergeCell ref="M29:M32"/>
    <mergeCell ref="F11:F13"/>
    <mergeCell ref="H11:H13"/>
    <mergeCell ref="G14:G15"/>
    <mergeCell ref="E77:E78"/>
    <mergeCell ref="E50:E51"/>
    <mergeCell ref="E53:E54"/>
    <mergeCell ref="E55:E56"/>
    <mergeCell ref="E57:E58"/>
    <mergeCell ref="E59:E63"/>
    <mergeCell ref="E64:E65"/>
    <mergeCell ref="G2:G3"/>
    <mergeCell ref="N2:P2"/>
    <mergeCell ref="E73:E74"/>
    <mergeCell ref="J50:J51"/>
    <mergeCell ref="J53:J54"/>
    <mergeCell ref="J38:J39"/>
    <mergeCell ref="E38:E39"/>
    <mergeCell ref="L11:L13"/>
    <mergeCell ref="M11:M13"/>
    <mergeCell ref="K20:K21"/>
    <mergeCell ref="L20:L21"/>
    <mergeCell ref="A29:A32"/>
    <mergeCell ref="B29:B32"/>
    <mergeCell ref="C29:C32"/>
    <mergeCell ref="F29:F32"/>
    <mergeCell ref="H29:H32"/>
    <mergeCell ref="I29:I32"/>
    <mergeCell ref="K29:K32"/>
    <mergeCell ref="L29:L32"/>
    <mergeCell ref="A14:A15"/>
    <mergeCell ref="B14:B15"/>
    <mergeCell ref="C14:C15"/>
    <mergeCell ref="D14:D15"/>
    <mergeCell ref="A45:A46"/>
    <mergeCell ref="B45:B46"/>
    <mergeCell ref="C45:C46"/>
    <mergeCell ref="F45:F46"/>
    <mergeCell ref="H45:H46"/>
    <mergeCell ref="I45:I46"/>
    <mergeCell ref="A20:A21"/>
    <mergeCell ref="B20:B21"/>
    <mergeCell ref="C20:C21"/>
    <mergeCell ref="F20:F21"/>
    <mergeCell ref="H20:H21"/>
    <mergeCell ref="I20:I21"/>
    <mergeCell ref="B38:B39"/>
    <mergeCell ref="C38:C39"/>
    <mergeCell ref="F38:F39"/>
    <mergeCell ref="G38:G39"/>
    <mergeCell ref="H38:H39"/>
    <mergeCell ref="I38:I39"/>
    <mergeCell ref="D38:D39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scale="88" orientation="landscape" horizontalDpi="4294967292" r:id="rId1"/>
  <headerFooter alignWithMargins="0"/>
  <rowBreaks count="2" manualBreakCount="2">
    <brk id="19" max="17" man="1"/>
    <brk id="36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67"/>
  <sheetViews>
    <sheetView showGridLines="0" showZeros="0" view="pageBreakPreview" zoomScaleSheetLayoutView="100" workbookViewId="0">
      <selection activeCell="Q6" sqref="Q6"/>
    </sheetView>
  </sheetViews>
  <sheetFormatPr defaultRowHeight="11.25"/>
  <cols>
    <col min="1" max="1" width="3.77734375" style="50" customWidth="1"/>
    <col min="2" max="3" width="7.77734375" style="50" customWidth="1"/>
    <col min="4" max="4" width="3.77734375" style="50" customWidth="1"/>
    <col min="5" max="5" width="7.77734375" style="50" customWidth="1"/>
    <col min="6" max="6" width="5.77734375" style="50" customWidth="1"/>
    <col min="7" max="7" width="5.77734375" style="74" customWidth="1"/>
    <col min="8" max="8" width="7.77734375" style="50" customWidth="1"/>
    <col min="9" max="9" width="15.77734375" style="50" customWidth="1"/>
    <col min="10" max="10" width="12.77734375" style="50" customWidth="1"/>
    <col min="11" max="11" width="25.77734375" style="50" customWidth="1"/>
    <col min="12" max="12" width="10.77734375" style="50" customWidth="1"/>
    <col min="13" max="13" width="4.77734375" style="50" customWidth="1"/>
    <col min="14" max="15" width="8" style="75" customWidth="1"/>
    <col min="16" max="20" width="9.77734375" style="50" customWidth="1"/>
    <col min="21" max="21" width="10.77734375" style="50" customWidth="1"/>
    <col min="22" max="16384" width="8.88671875" style="50"/>
  </cols>
  <sheetData>
    <row r="1" spans="1:21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</row>
    <row r="2" spans="1:21" ht="15" customHeight="1">
      <c r="A2" s="46"/>
      <c r="B2" s="46"/>
      <c r="C2" s="46"/>
      <c r="D2" s="46"/>
      <c r="E2" s="46"/>
      <c r="F2" s="46"/>
      <c r="G2" s="47"/>
      <c r="H2" s="46"/>
      <c r="I2" s="46"/>
      <c r="K2" s="106"/>
      <c r="L2" s="48"/>
      <c r="M2" s="164" t="s">
        <v>126</v>
      </c>
      <c r="N2" s="49"/>
      <c r="O2" s="49"/>
      <c r="P2" s="46"/>
      <c r="Q2" s="46"/>
      <c r="R2" s="46"/>
      <c r="S2" s="46"/>
      <c r="T2" s="46"/>
      <c r="U2" s="46"/>
    </row>
    <row r="3" spans="1:21" ht="5.0999999999999996" customHeight="1">
      <c r="A3" s="46"/>
      <c r="B3" s="46"/>
      <c r="C3" s="46"/>
      <c r="D3" s="46"/>
      <c r="E3" s="46"/>
      <c r="F3" s="46"/>
      <c r="G3" s="47"/>
      <c r="H3" s="46"/>
      <c r="I3" s="46"/>
      <c r="J3" s="46"/>
      <c r="K3" s="46"/>
      <c r="L3" s="46"/>
      <c r="M3" s="134"/>
      <c r="N3" s="51"/>
      <c r="O3" s="51"/>
      <c r="P3" s="46"/>
      <c r="Q3" s="46"/>
      <c r="R3" s="46"/>
      <c r="S3" s="46"/>
      <c r="T3" s="46"/>
      <c r="U3" s="46"/>
    </row>
    <row r="4" spans="1:21" s="54" customFormat="1" ht="24.95" customHeight="1">
      <c r="A4" s="107" t="s">
        <v>33</v>
      </c>
      <c r="B4" s="367" t="s">
        <v>170</v>
      </c>
      <c r="C4" s="391" t="s">
        <v>59</v>
      </c>
      <c r="D4" s="367" t="s">
        <v>60</v>
      </c>
      <c r="E4" s="393" t="s">
        <v>64</v>
      </c>
      <c r="F4" s="405" t="s">
        <v>63</v>
      </c>
      <c r="G4" s="405"/>
      <c r="H4" s="369" t="s">
        <v>36</v>
      </c>
      <c r="I4" s="369"/>
      <c r="J4" s="369" t="s">
        <v>37</v>
      </c>
      <c r="K4" s="369"/>
      <c r="L4" s="369"/>
      <c r="M4" s="398" t="s">
        <v>27</v>
      </c>
      <c r="N4" s="52"/>
      <c r="O4" s="52"/>
      <c r="P4" s="53"/>
      <c r="Q4" s="53"/>
      <c r="R4" s="53"/>
      <c r="S4" s="53"/>
      <c r="T4" s="53"/>
      <c r="U4" s="53"/>
    </row>
    <row r="5" spans="1:21" s="54" customFormat="1" ht="24.95" customHeight="1">
      <c r="A5" s="108" t="s">
        <v>38</v>
      </c>
      <c r="B5" s="368"/>
      <c r="C5" s="392"/>
      <c r="D5" s="368"/>
      <c r="E5" s="394"/>
      <c r="F5" s="136" t="s">
        <v>65</v>
      </c>
      <c r="G5" s="136" t="s">
        <v>44</v>
      </c>
      <c r="H5" s="110" t="s">
        <v>39</v>
      </c>
      <c r="I5" s="109" t="s">
        <v>40</v>
      </c>
      <c r="J5" s="110" t="s">
        <v>39</v>
      </c>
      <c r="K5" s="110" t="s">
        <v>40</v>
      </c>
      <c r="L5" s="109" t="s">
        <v>54</v>
      </c>
      <c r="M5" s="399"/>
      <c r="N5" s="55"/>
      <c r="O5" s="55"/>
      <c r="P5" s="56"/>
      <c r="Q5" s="56" t="s">
        <v>65</v>
      </c>
      <c r="R5" s="56"/>
      <c r="S5" s="56"/>
      <c r="T5" s="56"/>
      <c r="U5" s="57"/>
    </row>
    <row r="6" spans="1:21" s="244" customFormat="1" ht="24.95" customHeight="1">
      <c r="A6" s="160"/>
      <c r="B6" s="237" t="s">
        <v>44</v>
      </c>
      <c r="C6" s="238" t="s">
        <v>132</v>
      </c>
      <c r="D6" s="222" t="s">
        <v>133</v>
      </c>
      <c r="E6" s="222">
        <v>177</v>
      </c>
      <c r="F6" s="239"/>
      <c r="G6" s="239">
        <v>99</v>
      </c>
      <c r="H6" s="222" t="s">
        <v>134</v>
      </c>
      <c r="I6" s="222" t="s">
        <v>135</v>
      </c>
      <c r="J6" s="240"/>
      <c r="K6" s="240"/>
      <c r="L6" s="240"/>
      <c r="M6" s="241"/>
      <c r="N6" s="242"/>
      <c r="O6" s="242" t="str">
        <f>CONCATENATE(D6,H6)</f>
        <v>답공</v>
      </c>
      <c r="P6" s="243" t="str">
        <f>IF(E6&gt;=G6,"-","err")</f>
        <v>-</v>
      </c>
      <c r="Q6" s="243" t="str">
        <f>IF(F6=0,"1","2")</f>
        <v>1</v>
      </c>
      <c r="R6" s="243"/>
      <c r="S6" s="243"/>
      <c r="T6" s="243"/>
      <c r="U6" s="243"/>
    </row>
    <row r="7" spans="1:21" s="244" customFormat="1" ht="24.95" customHeight="1">
      <c r="A7" s="160"/>
      <c r="B7" s="237" t="s">
        <v>286</v>
      </c>
      <c r="C7" s="238" t="s">
        <v>171</v>
      </c>
      <c r="D7" s="222" t="s">
        <v>172</v>
      </c>
      <c r="E7" s="222">
        <v>1828</v>
      </c>
      <c r="F7" s="222"/>
      <c r="G7" s="239">
        <v>47</v>
      </c>
      <c r="H7" s="222" t="s">
        <v>173</v>
      </c>
      <c r="I7" s="222" t="s">
        <v>174</v>
      </c>
      <c r="J7" s="240"/>
      <c r="K7" s="240"/>
      <c r="L7" s="240"/>
      <c r="M7" s="241"/>
      <c r="N7" s="242"/>
      <c r="O7" s="242" t="str">
        <f>CONCATENATE(D7,H7)</f>
        <v>답공</v>
      </c>
      <c r="P7" s="243" t="str">
        <f>IF(E7&gt;=G7,"-","err")</f>
        <v>-</v>
      </c>
      <c r="Q7" s="243" t="str">
        <f>IF(F7=0,"1","2")</f>
        <v>1</v>
      </c>
      <c r="R7" s="243"/>
      <c r="S7" s="243"/>
      <c r="T7" s="243"/>
      <c r="U7" s="243"/>
    </row>
    <row r="8" spans="1:21" s="244" customFormat="1" ht="24.95" customHeight="1">
      <c r="A8" s="160"/>
      <c r="B8" s="237" t="s">
        <v>286</v>
      </c>
      <c r="C8" s="238" t="s">
        <v>175</v>
      </c>
      <c r="D8" s="222" t="s">
        <v>176</v>
      </c>
      <c r="E8" s="222">
        <v>2522</v>
      </c>
      <c r="F8" s="239">
        <v>0</v>
      </c>
      <c r="G8" s="239">
        <v>59</v>
      </c>
      <c r="H8" s="222" t="s">
        <v>177</v>
      </c>
      <c r="I8" s="222" t="s">
        <v>178</v>
      </c>
      <c r="J8" s="240"/>
      <c r="K8" s="240"/>
      <c r="L8" s="240"/>
      <c r="M8" s="241"/>
      <c r="N8" s="242"/>
      <c r="O8" s="242" t="str">
        <f t="shared" ref="O8:O71" si="0">CONCATENATE(D8,H8)</f>
        <v>제국</v>
      </c>
      <c r="P8" s="243" t="str">
        <f t="shared" ref="P8:P30" si="1">IF(E8&gt;=G8,"-","err")</f>
        <v>-</v>
      </c>
      <c r="Q8" s="243" t="str">
        <f t="shared" ref="Q8:Q30" si="2">IF(F8=0,"1","2")</f>
        <v>1</v>
      </c>
      <c r="R8" s="243"/>
      <c r="S8" s="243"/>
      <c r="T8" s="243"/>
      <c r="U8" s="243"/>
    </row>
    <row r="9" spans="1:21" s="140" customFormat="1" ht="24.95" customHeight="1">
      <c r="A9" s="111"/>
      <c r="B9" s="111"/>
      <c r="C9" s="122"/>
      <c r="D9" s="112"/>
      <c r="E9" s="112"/>
      <c r="F9" s="112"/>
      <c r="G9" s="135"/>
      <c r="H9" s="112"/>
      <c r="I9" s="112"/>
      <c r="J9" s="114"/>
      <c r="K9" s="114"/>
      <c r="L9" s="114"/>
      <c r="M9" s="115"/>
      <c r="N9" s="138"/>
      <c r="O9" s="138" t="str">
        <f t="shared" si="0"/>
        <v/>
      </c>
      <c r="P9" s="139" t="str">
        <f t="shared" si="1"/>
        <v>-</v>
      </c>
      <c r="Q9" s="139" t="str">
        <f t="shared" si="2"/>
        <v>1</v>
      </c>
      <c r="R9" s="61"/>
      <c r="S9" s="61"/>
      <c r="T9" s="61"/>
      <c r="U9" s="139"/>
    </row>
    <row r="10" spans="1:21" s="140" customFormat="1" ht="24.95" customHeight="1">
      <c r="A10" s="111"/>
      <c r="B10" s="111"/>
      <c r="C10" s="122"/>
      <c r="D10" s="112"/>
      <c r="E10" s="112"/>
      <c r="F10" s="112"/>
      <c r="G10" s="135"/>
      <c r="H10" s="112"/>
      <c r="I10" s="112"/>
      <c r="J10" s="114"/>
      <c r="K10" s="114"/>
      <c r="L10" s="114"/>
      <c r="M10" s="115"/>
      <c r="N10" s="138"/>
      <c r="O10" s="138" t="str">
        <f t="shared" si="0"/>
        <v/>
      </c>
      <c r="P10" s="139" t="str">
        <f t="shared" si="1"/>
        <v>-</v>
      </c>
      <c r="Q10" s="139" t="str">
        <f t="shared" si="2"/>
        <v>1</v>
      </c>
      <c r="R10" s="61"/>
      <c r="S10" s="61"/>
      <c r="T10" s="61"/>
      <c r="U10" s="139"/>
    </row>
    <row r="11" spans="1:21" s="140" customFormat="1" ht="24.95" customHeight="1">
      <c r="A11" s="111"/>
      <c r="B11" s="111"/>
      <c r="C11" s="130"/>
      <c r="D11" s="112"/>
      <c r="E11" s="112"/>
      <c r="F11" s="112"/>
      <c r="G11" s="135"/>
      <c r="H11" s="112"/>
      <c r="I11" s="112"/>
      <c r="J11" s="114"/>
      <c r="K11" s="114"/>
      <c r="L11" s="114"/>
      <c r="M11" s="115"/>
      <c r="N11" s="138"/>
      <c r="O11" s="138" t="str">
        <f t="shared" si="0"/>
        <v/>
      </c>
      <c r="P11" s="139" t="str">
        <f t="shared" si="1"/>
        <v>-</v>
      </c>
      <c r="Q11" s="139" t="str">
        <f t="shared" si="2"/>
        <v>1</v>
      </c>
      <c r="R11" s="61"/>
      <c r="S11" s="61"/>
      <c r="T11" s="61"/>
      <c r="U11" s="139"/>
    </row>
    <row r="12" spans="1:21" s="62" customFormat="1" ht="24.95" customHeight="1">
      <c r="A12" s="111"/>
      <c r="B12" s="111"/>
      <c r="C12" s="130"/>
      <c r="D12" s="112"/>
      <c r="E12" s="112"/>
      <c r="F12" s="112"/>
      <c r="G12" s="135"/>
      <c r="H12" s="112"/>
      <c r="I12" s="112"/>
      <c r="J12" s="114"/>
      <c r="K12" s="114"/>
      <c r="L12" s="114"/>
      <c r="M12" s="115"/>
      <c r="N12" s="60"/>
      <c r="O12" s="60" t="str">
        <f t="shared" si="0"/>
        <v/>
      </c>
      <c r="P12" s="61" t="str">
        <f t="shared" si="1"/>
        <v>-</v>
      </c>
      <c r="Q12" s="61" t="str">
        <f t="shared" si="2"/>
        <v>1</v>
      </c>
      <c r="R12" s="61"/>
      <c r="S12" s="61"/>
      <c r="T12" s="61"/>
      <c r="U12" s="61"/>
    </row>
    <row r="13" spans="1:21" s="62" customFormat="1" ht="24.95" customHeight="1">
      <c r="A13" s="111"/>
      <c r="B13" s="111"/>
      <c r="C13" s="130"/>
      <c r="D13" s="112"/>
      <c r="E13" s="112"/>
      <c r="F13" s="112"/>
      <c r="G13" s="135"/>
      <c r="H13" s="112"/>
      <c r="I13" s="112"/>
      <c r="J13" s="114"/>
      <c r="K13" s="114"/>
      <c r="L13" s="114"/>
      <c r="M13" s="115"/>
      <c r="N13" s="60"/>
      <c r="O13" s="60" t="str">
        <f t="shared" si="0"/>
        <v/>
      </c>
      <c r="P13" s="61" t="str">
        <f t="shared" si="1"/>
        <v>-</v>
      </c>
      <c r="Q13" s="61" t="str">
        <f t="shared" si="2"/>
        <v>1</v>
      </c>
      <c r="R13" s="61"/>
      <c r="S13" s="61"/>
      <c r="T13" s="61"/>
      <c r="U13" s="61"/>
    </row>
    <row r="14" spans="1:21" s="62" customFormat="1" ht="24.95" customHeight="1">
      <c r="A14" s="111"/>
      <c r="B14" s="111"/>
      <c r="C14" s="122"/>
      <c r="D14" s="112"/>
      <c r="E14" s="112"/>
      <c r="F14" s="112"/>
      <c r="G14" s="112"/>
      <c r="H14" s="112"/>
      <c r="I14" s="112"/>
      <c r="J14" s="114"/>
      <c r="K14" s="114"/>
      <c r="L14" s="114"/>
      <c r="M14" s="115"/>
      <c r="N14" s="60"/>
      <c r="O14" s="60" t="str">
        <f t="shared" si="0"/>
        <v/>
      </c>
      <c r="P14" s="61" t="str">
        <f t="shared" si="1"/>
        <v>-</v>
      </c>
      <c r="Q14" s="61" t="str">
        <f t="shared" si="2"/>
        <v>1</v>
      </c>
      <c r="R14" s="61"/>
      <c r="S14" s="61"/>
      <c r="T14" s="61"/>
      <c r="U14" s="61"/>
    </row>
    <row r="15" spans="1:21" s="62" customFormat="1" ht="24.95" customHeight="1">
      <c r="A15" s="111"/>
      <c r="B15" s="111"/>
      <c r="C15" s="122"/>
      <c r="D15" s="112"/>
      <c r="E15" s="112"/>
      <c r="F15" s="112"/>
      <c r="G15" s="135"/>
      <c r="H15" s="112"/>
      <c r="I15" s="112"/>
      <c r="J15" s="114"/>
      <c r="K15" s="114"/>
      <c r="L15" s="114"/>
      <c r="M15" s="115"/>
      <c r="N15" s="60"/>
      <c r="O15" s="60" t="str">
        <f t="shared" si="0"/>
        <v/>
      </c>
      <c r="P15" s="61" t="str">
        <f t="shared" si="1"/>
        <v>-</v>
      </c>
      <c r="Q15" s="61" t="str">
        <f t="shared" si="2"/>
        <v>1</v>
      </c>
      <c r="R15" s="61"/>
      <c r="S15" s="61"/>
      <c r="T15" s="61"/>
      <c r="U15" s="61"/>
    </row>
    <row r="16" spans="1:21" s="62" customFormat="1" ht="24.95" customHeight="1">
      <c r="A16" s="111"/>
      <c r="B16" s="111"/>
      <c r="C16" s="122"/>
      <c r="D16" s="112"/>
      <c r="E16" s="112"/>
      <c r="F16" s="112"/>
      <c r="G16" s="112"/>
      <c r="H16" s="112"/>
      <c r="I16" s="112"/>
      <c r="J16" s="124"/>
      <c r="K16" s="114"/>
      <c r="L16" s="114"/>
      <c r="M16" s="115"/>
      <c r="N16" s="60"/>
      <c r="O16" s="60" t="str">
        <f t="shared" si="0"/>
        <v/>
      </c>
      <c r="P16" s="61" t="str">
        <f t="shared" si="1"/>
        <v>-</v>
      </c>
      <c r="Q16" s="61" t="str">
        <f t="shared" si="2"/>
        <v>1</v>
      </c>
      <c r="R16" s="61"/>
      <c r="S16" s="61"/>
      <c r="T16" s="61"/>
      <c r="U16" s="61"/>
    </row>
    <row r="17" spans="1:77" s="62" customFormat="1" ht="24.95" customHeight="1">
      <c r="A17" s="111"/>
      <c r="B17" s="111"/>
      <c r="C17" s="122"/>
      <c r="D17" s="112"/>
      <c r="E17" s="112"/>
      <c r="F17" s="112"/>
      <c r="G17" s="112"/>
      <c r="H17" s="112"/>
      <c r="I17" s="112"/>
      <c r="J17" s="114"/>
      <c r="K17" s="114"/>
      <c r="L17" s="114"/>
      <c r="M17" s="115"/>
      <c r="N17" s="60"/>
      <c r="O17" s="60" t="str">
        <f t="shared" si="0"/>
        <v/>
      </c>
      <c r="P17" s="61" t="str">
        <f t="shared" si="1"/>
        <v>-</v>
      </c>
      <c r="Q17" s="61" t="str">
        <f t="shared" si="2"/>
        <v>1</v>
      </c>
      <c r="R17" s="61"/>
      <c r="S17" s="61"/>
      <c r="T17" s="61"/>
      <c r="U17" s="61"/>
    </row>
    <row r="18" spans="1:77" s="62" customFormat="1" ht="24.95" customHeight="1">
      <c r="A18" s="111"/>
      <c r="B18" s="111"/>
      <c r="C18" s="130"/>
      <c r="D18" s="112"/>
      <c r="E18" s="112"/>
      <c r="F18" s="112"/>
      <c r="G18" s="112"/>
      <c r="H18" s="112"/>
      <c r="I18" s="112"/>
      <c r="J18" s="114"/>
      <c r="K18" s="114"/>
      <c r="L18" s="114"/>
      <c r="M18" s="115"/>
      <c r="N18" s="60"/>
      <c r="O18" s="60" t="str">
        <f t="shared" si="0"/>
        <v/>
      </c>
      <c r="P18" s="61" t="str">
        <f t="shared" si="1"/>
        <v>-</v>
      </c>
      <c r="Q18" s="61" t="str">
        <f t="shared" si="2"/>
        <v>1</v>
      </c>
      <c r="R18" s="61"/>
      <c r="S18" s="61"/>
      <c r="T18" s="61"/>
      <c r="U18" s="61"/>
    </row>
    <row r="19" spans="1:77" s="62" customFormat="1" ht="24.95" customHeight="1">
      <c r="A19" s="111"/>
      <c r="B19" s="111"/>
      <c r="C19" s="122"/>
      <c r="D19" s="112"/>
      <c r="E19" s="112"/>
      <c r="F19" s="112"/>
      <c r="G19" s="112"/>
      <c r="H19" s="112"/>
      <c r="I19" s="112"/>
      <c r="J19" s="114"/>
      <c r="K19" s="114"/>
      <c r="L19" s="114"/>
      <c r="M19" s="115"/>
      <c r="N19" s="60"/>
      <c r="O19" s="60" t="str">
        <f>CONCATENATE(D19,H19)</f>
        <v/>
      </c>
      <c r="P19" s="61" t="str">
        <f t="shared" si="1"/>
        <v>-</v>
      </c>
      <c r="Q19" s="61" t="str">
        <f t="shared" si="2"/>
        <v>1</v>
      </c>
      <c r="R19" s="61"/>
      <c r="S19" s="61"/>
      <c r="T19" s="61"/>
      <c r="U19" s="61"/>
    </row>
    <row r="20" spans="1:77" s="62" customFormat="1" ht="24.95" customHeight="1">
      <c r="A20" s="111"/>
      <c r="B20" s="111"/>
      <c r="C20" s="130"/>
      <c r="D20" s="112"/>
      <c r="E20" s="112"/>
      <c r="F20" s="112"/>
      <c r="G20" s="112"/>
      <c r="H20" s="112"/>
      <c r="I20" s="112"/>
      <c r="J20" s="114"/>
      <c r="K20" s="114"/>
      <c r="L20" s="114"/>
      <c r="M20" s="115"/>
      <c r="N20" s="60"/>
      <c r="O20" s="60" t="str">
        <f>CONCATENATE(D20,H20)</f>
        <v/>
      </c>
      <c r="P20" s="61" t="str">
        <f t="shared" si="1"/>
        <v>-</v>
      </c>
      <c r="Q20" s="61" t="str">
        <f t="shared" si="2"/>
        <v>1</v>
      </c>
      <c r="R20" s="61"/>
      <c r="S20" s="61"/>
      <c r="T20" s="61"/>
      <c r="U20" s="61"/>
    </row>
    <row r="21" spans="1:77" s="62" customFormat="1" ht="24.95" customHeight="1">
      <c r="A21" s="111"/>
      <c r="B21" s="111"/>
      <c r="C21" s="130"/>
      <c r="D21" s="112"/>
      <c r="E21" s="112"/>
      <c r="F21" s="112"/>
      <c r="G21" s="112"/>
      <c r="H21" s="112"/>
      <c r="I21" s="112"/>
      <c r="J21" s="114"/>
      <c r="K21" s="114"/>
      <c r="L21" s="114"/>
      <c r="M21" s="115"/>
      <c r="N21" s="60"/>
      <c r="O21" s="60" t="str">
        <f>CONCATENATE(D21,H21)</f>
        <v/>
      </c>
      <c r="P21" s="61" t="str">
        <f t="shared" si="1"/>
        <v>-</v>
      </c>
      <c r="Q21" s="61" t="str">
        <f t="shared" si="2"/>
        <v>1</v>
      </c>
      <c r="R21" s="61"/>
      <c r="S21" s="61"/>
      <c r="T21" s="61"/>
      <c r="U21" s="61"/>
    </row>
    <row r="22" spans="1:77" s="62" customFormat="1" ht="24.95" customHeight="1">
      <c r="A22" s="111"/>
      <c r="B22" s="111"/>
      <c r="C22" s="122"/>
      <c r="D22" s="112"/>
      <c r="E22" s="112"/>
      <c r="F22" s="112"/>
      <c r="G22" s="112"/>
      <c r="H22" s="112"/>
      <c r="I22" s="112"/>
      <c r="J22" s="114"/>
      <c r="K22" s="114"/>
      <c r="L22" s="114"/>
      <c r="M22" s="115"/>
      <c r="N22" s="60"/>
      <c r="O22" s="60" t="str">
        <f t="shared" si="0"/>
        <v/>
      </c>
      <c r="P22" s="61" t="str">
        <f t="shared" si="1"/>
        <v>-</v>
      </c>
      <c r="Q22" s="61" t="str">
        <f t="shared" si="2"/>
        <v>1</v>
      </c>
      <c r="R22" s="61"/>
      <c r="S22" s="61"/>
      <c r="T22" s="61"/>
      <c r="U22" s="61"/>
    </row>
    <row r="23" spans="1:77" s="62" customFormat="1" ht="24.95" customHeight="1">
      <c r="A23" s="111"/>
      <c r="B23" s="111"/>
      <c r="C23" s="130"/>
      <c r="D23" s="112"/>
      <c r="E23" s="112"/>
      <c r="F23" s="112"/>
      <c r="G23" s="112"/>
      <c r="H23" s="112"/>
      <c r="I23" s="112"/>
      <c r="J23" s="114"/>
      <c r="K23" s="114"/>
      <c r="L23" s="114"/>
      <c r="M23" s="115"/>
      <c r="N23" s="60"/>
      <c r="O23" s="60" t="str">
        <f t="shared" si="0"/>
        <v/>
      </c>
      <c r="P23" s="61" t="str">
        <f t="shared" si="1"/>
        <v>-</v>
      </c>
      <c r="Q23" s="61" t="str">
        <f t="shared" si="2"/>
        <v>1</v>
      </c>
      <c r="R23" s="61"/>
      <c r="S23" s="61"/>
      <c r="T23" s="61"/>
      <c r="U23" s="61"/>
    </row>
    <row r="24" spans="1:77" s="62" customFormat="1" ht="24.95" customHeight="1">
      <c r="A24" s="111"/>
      <c r="B24" s="111"/>
      <c r="C24" s="130"/>
      <c r="D24" s="112"/>
      <c r="E24" s="112"/>
      <c r="F24" s="112"/>
      <c r="G24" s="112"/>
      <c r="H24" s="112"/>
      <c r="I24" s="112"/>
      <c r="J24" s="114"/>
      <c r="K24" s="114"/>
      <c r="L24" s="114"/>
      <c r="M24" s="115"/>
      <c r="N24" s="60"/>
      <c r="O24" s="60" t="str">
        <f t="shared" si="0"/>
        <v/>
      </c>
      <c r="P24" s="61" t="str">
        <f t="shared" si="1"/>
        <v>-</v>
      </c>
      <c r="Q24" s="61" t="str">
        <f t="shared" si="2"/>
        <v>1</v>
      </c>
      <c r="R24" s="61"/>
      <c r="S24" s="61"/>
      <c r="T24" s="61"/>
      <c r="U24" s="61"/>
    </row>
    <row r="25" spans="1:77" s="62" customFormat="1" ht="24.95" customHeight="1">
      <c r="A25" s="111"/>
      <c r="B25" s="111"/>
      <c r="C25" s="130"/>
      <c r="D25" s="112"/>
      <c r="E25" s="112"/>
      <c r="F25" s="112"/>
      <c r="G25" s="112"/>
      <c r="H25" s="112"/>
      <c r="I25" s="112"/>
      <c r="J25" s="114"/>
      <c r="K25" s="114"/>
      <c r="L25" s="114"/>
      <c r="M25" s="115"/>
      <c r="N25" s="60"/>
      <c r="O25" s="60" t="str">
        <f>CONCATENATE(D25,H25)</f>
        <v/>
      </c>
      <c r="P25" s="61" t="str">
        <f t="shared" si="1"/>
        <v>-</v>
      </c>
      <c r="Q25" s="61" t="str">
        <f t="shared" si="2"/>
        <v>1</v>
      </c>
      <c r="R25" s="61"/>
      <c r="S25" s="61"/>
      <c r="T25" s="61"/>
      <c r="U25" s="61"/>
    </row>
    <row r="26" spans="1:77" s="62" customFormat="1" ht="24.95" customHeight="1">
      <c r="A26" s="111"/>
      <c r="B26" s="111"/>
      <c r="C26" s="130"/>
      <c r="D26" s="112"/>
      <c r="E26" s="112"/>
      <c r="F26" s="112"/>
      <c r="G26" s="112"/>
      <c r="H26" s="112"/>
      <c r="I26" s="112"/>
      <c r="J26" s="114"/>
      <c r="K26" s="114"/>
      <c r="L26" s="114"/>
      <c r="M26" s="115"/>
      <c r="N26" s="60"/>
      <c r="O26" s="60" t="str">
        <f>CONCATENATE(D26,H26)</f>
        <v/>
      </c>
      <c r="P26" s="61" t="str">
        <f t="shared" si="1"/>
        <v>-</v>
      </c>
      <c r="Q26" s="61" t="str">
        <f t="shared" si="2"/>
        <v>1</v>
      </c>
      <c r="R26" s="61"/>
      <c r="S26" s="61"/>
      <c r="T26" s="61"/>
      <c r="U26" s="61"/>
    </row>
    <row r="27" spans="1:77" s="62" customFormat="1" ht="24.95" customHeight="1">
      <c r="A27" s="111"/>
      <c r="B27" s="111"/>
      <c r="C27" s="130"/>
      <c r="D27" s="112"/>
      <c r="E27" s="112"/>
      <c r="F27" s="112"/>
      <c r="G27" s="112"/>
      <c r="H27" s="112"/>
      <c r="I27" s="112"/>
      <c r="J27" s="114"/>
      <c r="K27" s="114"/>
      <c r="L27" s="114"/>
      <c r="M27" s="115"/>
      <c r="N27" s="60"/>
      <c r="O27" s="60" t="str">
        <f>CONCATENATE(D27,H27)</f>
        <v/>
      </c>
      <c r="P27" s="61" t="str">
        <f t="shared" si="1"/>
        <v>-</v>
      </c>
      <c r="Q27" s="61" t="str">
        <f t="shared" si="2"/>
        <v>1</v>
      </c>
      <c r="R27" s="61"/>
      <c r="S27" s="61"/>
      <c r="T27" s="61"/>
      <c r="U27" s="61"/>
    </row>
    <row r="28" spans="1:77" s="62" customFormat="1" ht="24.95" customHeight="1">
      <c r="A28" s="111"/>
      <c r="B28" s="111"/>
      <c r="C28" s="130"/>
      <c r="D28" s="112"/>
      <c r="E28" s="112"/>
      <c r="F28" s="112"/>
      <c r="G28" s="112"/>
      <c r="H28" s="112"/>
      <c r="I28" s="112"/>
      <c r="J28" s="123"/>
      <c r="K28" s="114"/>
      <c r="L28" s="114"/>
      <c r="M28" s="115"/>
      <c r="N28" s="60"/>
      <c r="O28" s="60" t="str">
        <f t="shared" si="0"/>
        <v/>
      </c>
      <c r="P28" s="61" t="str">
        <f t="shared" si="1"/>
        <v>-</v>
      </c>
      <c r="Q28" s="61" t="str">
        <f t="shared" si="2"/>
        <v>1</v>
      </c>
      <c r="R28" s="61"/>
      <c r="S28" s="61"/>
      <c r="T28" s="61"/>
      <c r="U28" s="61"/>
    </row>
    <row r="29" spans="1:77" s="62" customFormat="1" ht="24.95" customHeight="1">
      <c r="A29" s="111"/>
      <c r="B29" s="111"/>
      <c r="C29" s="122"/>
      <c r="D29" s="112"/>
      <c r="E29" s="112"/>
      <c r="F29" s="112"/>
      <c r="G29" s="135"/>
      <c r="H29" s="112"/>
      <c r="I29" s="112"/>
      <c r="J29" s="114"/>
      <c r="K29" s="114"/>
      <c r="L29" s="114"/>
      <c r="M29" s="115"/>
      <c r="N29" s="60"/>
      <c r="O29" s="60" t="str">
        <f t="shared" si="0"/>
        <v/>
      </c>
      <c r="P29" s="61" t="str">
        <f t="shared" si="1"/>
        <v>-</v>
      </c>
      <c r="Q29" s="61" t="str">
        <f t="shared" si="2"/>
        <v>1</v>
      </c>
      <c r="R29" s="61"/>
      <c r="S29" s="61"/>
      <c r="T29" s="61"/>
      <c r="U29" s="61"/>
    </row>
    <row r="30" spans="1:77" s="62" customFormat="1" ht="24.95" customHeight="1">
      <c r="A30" s="111"/>
      <c r="B30" s="111"/>
      <c r="C30" s="130"/>
      <c r="D30" s="112"/>
      <c r="E30" s="112"/>
      <c r="F30" s="112"/>
      <c r="G30" s="112"/>
      <c r="H30" s="112"/>
      <c r="I30" s="112"/>
      <c r="J30" s="114"/>
      <c r="K30" s="114"/>
      <c r="L30" s="114"/>
      <c r="M30" s="115"/>
      <c r="N30" s="60"/>
      <c r="O30" s="60" t="str">
        <f t="shared" si="0"/>
        <v/>
      </c>
      <c r="P30" s="61" t="str">
        <f t="shared" si="1"/>
        <v>-</v>
      </c>
      <c r="Q30" s="61" t="str">
        <f t="shared" si="2"/>
        <v>1</v>
      </c>
      <c r="R30" s="61"/>
      <c r="S30" s="61"/>
      <c r="T30" s="61"/>
      <c r="U30" s="61"/>
    </row>
    <row r="31" spans="1:77" s="73" customFormat="1" ht="24.95" customHeight="1">
      <c r="A31" s="117" t="s">
        <v>41</v>
      </c>
      <c r="B31" s="117"/>
      <c r="C31" s="117"/>
      <c r="D31" s="118"/>
      <c r="E31" s="119"/>
      <c r="F31" s="119">
        <f>SUM(F6:F30)</f>
        <v>0</v>
      </c>
      <c r="G31" s="119">
        <f>SUM(G6:G30)</f>
        <v>205</v>
      </c>
      <c r="H31" s="120"/>
      <c r="I31" s="120"/>
      <c r="J31" s="120"/>
      <c r="K31" s="120"/>
      <c r="L31" s="120"/>
      <c r="M31" s="121"/>
      <c r="N31" s="60"/>
      <c r="O31" s="60" t="str">
        <f t="shared" si="0"/>
        <v/>
      </c>
      <c r="P31" s="61"/>
      <c r="Q31" s="61"/>
      <c r="R31" s="61"/>
      <c r="S31" s="61"/>
      <c r="T31" s="61"/>
      <c r="U31" s="61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</row>
    <row r="32" spans="1:77" s="62" customFormat="1" ht="24.95" customHeight="1">
      <c r="A32" s="111">
        <v>26</v>
      </c>
      <c r="B32" s="111"/>
      <c r="C32" s="122"/>
      <c r="D32" s="112"/>
      <c r="E32" s="112"/>
      <c r="F32" s="112"/>
      <c r="G32" s="113"/>
      <c r="H32" s="112"/>
      <c r="I32" s="112"/>
      <c r="J32" s="114"/>
      <c r="K32" s="114"/>
      <c r="L32" s="114"/>
      <c r="M32" s="115"/>
      <c r="N32" s="60"/>
      <c r="O32" s="60" t="str">
        <f t="shared" si="0"/>
        <v/>
      </c>
      <c r="P32" s="61" t="str">
        <f t="shared" ref="P32:P56" si="3">IF(E32&gt;=G32,"-","err")</f>
        <v>-</v>
      </c>
      <c r="Q32" s="61"/>
      <c r="R32" s="61"/>
      <c r="S32" s="61"/>
      <c r="T32" s="61"/>
      <c r="U32" s="61"/>
    </row>
    <row r="33" spans="1:21" s="62" customFormat="1" ht="24.95" customHeight="1">
      <c r="A33" s="111">
        <v>27</v>
      </c>
      <c r="B33" s="111"/>
      <c r="C33" s="122"/>
      <c r="D33" s="112"/>
      <c r="E33" s="112"/>
      <c r="F33" s="112"/>
      <c r="G33" s="113"/>
      <c r="H33" s="112"/>
      <c r="I33" s="112"/>
      <c r="J33" s="114"/>
      <c r="K33" s="114"/>
      <c r="L33" s="114"/>
      <c r="M33" s="115"/>
      <c r="N33" s="60"/>
      <c r="O33" s="60" t="str">
        <f t="shared" si="0"/>
        <v/>
      </c>
      <c r="P33" s="61" t="str">
        <f t="shared" si="3"/>
        <v>-</v>
      </c>
      <c r="Q33" s="61"/>
      <c r="R33" s="61"/>
      <c r="S33" s="61"/>
      <c r="T33" s="61"/>
      <c r="U33" s="61"/>
    </row>
    <row r="34" spans="1:21" s="62" customFormat="1" ht="24.95" customHeight="1">
      <c r="A34" s="111">
        <v>28</v>
      </c>
      <c r="B34" s="111"/>
      <c r="C34" s="130"/>
      <c r="D34" s="112"/>
      <c r="E34" s="112"/>
      <c r="F34" s="112"/>
      <c r="G34" s="112"/>
      <c r="H34" s="112"/>
      <c r="I34" s="112"/>
      <c r="J34" s="114"/>
      <c r="K34" s="114"/>
      <c r="L34" s="114"/>
      <c r="M34" s="115"/>
      <c r="N34" s="60"/>
      <c r="O34" s="60" t="str">
        <f t="shared" si="0"/>
        <v/>
      </c>
      <c r="P34" s="61" t="str">
        <f t="shared" si="3"/>
        <v>-</v>
      </c>
      <c r="Q34" s="61"/>
      <c r="R34" s="61"/>
      <c r="S34" s="61"/>
      <c r="T34" s="61"/>
      <c r="U34" s="61"/>
    </row>
    <row r="35" spans="1:21" s="62" customFormat="1" ht="24.95" customHeight="1">
      <c r="A35" s="111">
        <v>29</v>
      </c>
      <c r="B35" s="111"/>
      <c r="C35" s="130"/>
      <c r="D35" s="112"/>
      <c r="E35" s="112"/>
      <c r="F35" s="112"/>
      <c r="G35" s="112"/>
      <c r="H35" s="112"/>
      <c r="I35" s="112"/>
      <c r="J35" s="114"/>
      <c r="K35" s="114"/>
      <c r="L35" s="114"/>
      <c r="M35" s="115"/>
      <c r="N35" s="60"/>
      <c r="O35" s="60" t="str">
        <f t="shared" si="0"/>
        <v/>
      </c>
      <c r="P35" s="61" t="str">
        <f t="shared" si="3"/>
        <v>-</v>
      </c>
      <c r="Q35" s="61"/>
      <c r="R35" s="61"/>
      <c r="S35" s="61"/>
      <c r="T35" s="61"/>
      <c r="U35" s="61"/>
    </row>
    <row r="36" spans="1:21" s="62" customFormat="1" ht="24.95" customHeight="1">
      <c r="A36" s="111">
        <v>30</v>
      </c>
      <c r="B36" s="111"/>
      <c r="C36" s="122"/>
      <c r="D36" s="112"/>
      <c r="E36" s="112"/>
      <c r="F36" s="112"/>
      <c r="G36" s="112"/>
      <c r="H36" s="112"/>
      <c r="I36" s="112"/>
      <c r="J36" s="114"/>
      <c r="K36" s="114"/>
      <c r="L36" s="114"/>
      <c r="M36" s="115"/>
      <c r="N36" s="60"/>
      <c r="O36" s="60" t="str">
        <f t="shared" si="0"/>
        <v/>
      </c>
      <c r="P36" s="61" t="str">
        <f t="shared" si="3"/>
        <v>-</v>
      </c>
      <c r="Q36" s="61"/>
      <c r="R36" s="61"/>
      <c r="S36" s="61"/>
      <c r="T36" s="61"/>
      <c r="U36" s="61"/>
    </row>
    <row r="37" spans="1:21" s="62" customFormat="1" ht="24.95" customHeight="1">
      <c r="A37" s="111">
        <v>31</v>
      </c>
      <c r="B37" s="111"/>
      <c r="C37" s="122"/>
      <c r="D37" s="112"/>
      <c r="E37" s="112"/>
      <c r="F37" s="112"/>
      <c r="G37" s="112"/>
      <c r="H37" s="112"/>
      <c r="I37" s="112"/>
      <c r="J37" s="114"/>
      <c r="K37" s="114"/>
      <c r="L37" s="114"/>
      <c r="M37" s="115"/>
      <c r="N37" s="60"/>
      <c r="O37" s="60" t="str">
        <f t="shared" si="0"/>
        <v/>
      </c>
      <c r="P37" s="61" t="str">
        <f t="shared" si="3"/>
        <v>-</v>
      </c>
      <c r="Q37" s="61"/>
      <c r="R37" s="61"/>
      <c r="S37" s="61"/>
      <c r="T37" s="61"/>
      <c r="U37" s="61"/>
    </row>
    <row r="38" spans="1:21" s="62" customFormat="1" ht="24.95" customHeight="1">
      <c r="A38" s="111">
        <v>32</v>
      </c>
      <c r="B38" s="111"/>
      <c r="C38" s="130"/>
      <c r="D38" s="112"/>
      <c r="E38" s="112"/>
      <c r="F38" s="112"/>
      <c r="G38" s="112"/>
      <c r="H38" s="112"/>
      <c r="I38" s="112"/>
      <c r="J38" s="114"/>
      <c r="K38" s="114"/>
      <c r="L38" s="114"/>
      <c r="M38" s="115"/>
      <c r="N38" s="60"/>
      <c r="O38" s="60" t="str">
        <f t="shared" si="0"/>
        <v/>
      </c>
      <c r="P38" s="61" t="str">
        <f t="shared" si="3"/>
        <v>-</v>
      </c>
      <c r="Q38" s="61"/>
      <c r="R38" s="61"/>
      <c r="S38" s="61"/>
      <c r="T38" s="61"/>
      <c r="U38" s="61"/>
    </row>
    <row r="39" spans="1:21" s="62" customFormat="1" ht="24.95" customHeight="1">
      <c r="A39" s="111">
        <v>33</v>
      </c>
      <c r="B39" s="111"/>
      <c r="C39" s="130"/>
      <c r="D39" s="112"/>
      <c r="E39" s="112"/>
      <c r="F39" s="112"/>
      <c r="G39" s="112"/>
      <c r="H39" s="112"/>
      <c r="I39" s="112"/>
      <c r="J39" s="114"/>
      <c r="K39" s="114"/>
      <c r="L39" s="114"/>
      <c r="M39" s="115"/>
      <c r="N39" s="60"/>
      <c r="O39" s="60" t="str">
        <f t="shared" si="0"/>
        <v/>
      </c>
      <c r="P39" s="61" t="str">
        <f t="shared" si="3"/>
        <v>-</v>
      </c>
      <c r="Q39" s="61"/>
      <c r="R39" s="61"/>
      <c r="S39" s="61"/>
      <c r="T39" s="61"/>
      <c r="U39" s="61"/>
    </row>
    <row r="40" spans="1:21" s="62" customFormat="1" ht="24.95" customHeight="1">
      <c r="A40" s="111">
        <v>34</v>
      </c>
      <c r="B40" s="111"/>
      <c r="C40" s="130"/>
      <c r="D40" s="112"/>
      <c r="E40" s="112"/>
      <c r="F40" s="112"/>
      <c r="G40" s="112"/>
      <c r="H40" s="112"/>
      <c r="I40" s="112"/>
      <c r="J40" s="114"/>
      <c r="K40" s="114"/>
      <c r="L40" s="114"/>
      <c r="M40" s="115"/>
      <c r="N40" s="60"/>
      <c r="O40" s="60" t="str">
        <f t="shared" si="0"/>
        <v/>
      </c>
      <c r="P40" s="61" t="str">
        <f t="shared" si="3"/>
        <v>-</v>
      </c>
      <c r="Q40" s="61"/>
      <c r="R40" s="61"/>
      <c r="S40" s="61"/>
      <c r="T40" s="61"/>
      <c r="U40" s="61"/>
    </row>
    <row r="41" spans="1:21" s="62" customFormat="1" ht="24.95" customHeight="1">
      <c r="A41" s="111">
        <v>35</v>
      </c>
      <c r="B41" s="111"/>
      <c r="C41" s="130"/>
      <c r="D41" s="112"/>
      <c r="E41" s="112"/>
      <c r="F41" s="112"/>
      <c r="G41" s="112"/>
      <c r="H41" s="112"/>
      <c r="I41" s="112"/>
      <c r="J41" s="114"/>
      <c r="K41" s="114"/>
      <c r="L41" s="114"/>
      <c r="M41" s="115"/>
      <c r="N41" s="60"/>
      <c r="O41" s="60" t="str">
        <f t="shared" si="0"/>
        <v/>
      </c>
      <c r="P41" s="61" t="str">
        <f t="shared" si="3"/>
        <v>-</v>
      </c>
      <c r="Q41" s="61"/>
      <c r="R41" s="61"/>
      <c r="S41" s="61"/>
      <c r="T41" s="61"/>
      <c r="U41" s="61"/>
    </row>
    <row r="42" spans="1:21" s="62" customFormat="1" ht="24.95" customHeight="1">
      <c r="A42" s="111">
        <v>36</v>
      </c>
      <c r="B42" s="111"/>
      <c r="C42" s="130"/>
      <c r="D42" s="112"/>
      <c r="E42" s="112"/>
      <c r="F42" s="112"/>
      <c r="G42" s="112"/>
      <c r="H42" s="112"/>
      <c r="I42" s="112"/>
      <c r="J42" s="114"/>
      <c r="K42" s="114"/>
      <c r="L42" s="114"/>
      <c r="M42" s="115"/>
      <c r="N42" s="60"/>
      <c r="O42" s="60" t="str">
        <f t="shared" si="0"/>
        <v/>
      </c>
      <c r="P42" s="61" t="str">
        <f t="shared" si="3"/>
        <v>-</v>
      </c>
      <c r="Q42" s="61"/>
      <c r="R42" s="61"/>
      <c r="S42" s="61"/>
      <c r="T42" s="61"/>
      <c r="U42" s="61"/>
    </row>
    <row r="43" spans="1:21" s="62" customFormat="1" ht="24.95" customHeight="1">
      <c r="A43" s="111">
        <v>37</v>
      </c>
      <c r="B43" s="111"/>
      <c r="C43" s="130"/>
      <c r="D43" s="112"/>
      <c r="E43" s="112"/>
      <c r="F43" s="112"/>
      <c r="G43" s="112"/>
      <c r="H43" s="112"/>
      <c r="I43" s="112"/>
      <c r="J43" s="114"/>
      <c r="K43" s="114"/>
      <c r="L43" s="114"/>
      <c r="M43" s="115"/>
      <c r="N43" s="60"/>
      <c r="O43" s="60" t="str">
        <f t="shared" si="0"/>
        <v/>
      </c>
      <c r="P43" s="61" t="str">
        <f t="shared" si="3"/>
        <v>-</v>
      </c>
      <c r="Q43" s="61"/>
      <c r="R43" s="61"/>
      <c r="S43" s="61"/>
      <c r="T43" s="61"/>
      <c r="U43" s="61"/>
    </row>
    <row r="44" spans="1:21" s="62" customFormat="1" ht="24.95" customHeight="1">
      <c r="A44" s="111">
        <v>38</v>
      </c>
      <c r="B44" s="111"/>
      <c r="C44" s="130"/>
      <c r="D44" s="112"/>
      <c r="E44" s="112"/>
      <c r="F44" s="112"/>
      <c r="G44" s="112"/>
      <c r="H44" s="112"/>
      <c r="I44" s="112"/>
      <c r="J44" s="114"/>
      <c r="K44" s="114"/>
      <c r="L44" s="114"/>
      <c r="M44" s="115"/>
      <c r="N44" s="60"/>
      <c r="O44" s="60" t="str">
        <f t="shared" si="0"/>
        <v/>
      </c>
      <c r="P44" s="61" t="str">
        <f t="shared" si="3"/>
        <v>-</v>
      </c>
      <c r="Q44" s="61"/>
      <c r="R44" s="61"/>
      <c r="S44" s="61"/>
      <c r="T44" s="61"/>
      <c r="U44" s="61"/>
    </row>
    <row r="45" spans="1:21" s="62" customFormat="1" ht="24.95" customHeight="1">
      <c r="A45" s="111">
        <v>39</v>
      </c>
      <c r="B45" s="111"/>
      <c r="C45" s="130"/>
      <c r="D45" s="112"/>
      <c r="E45" s="112"/>
      <c r="F45" s="112"/>
      <c r="G45" s="112"/>
      <c r="H45" s="112"/>
      <c r="I45" s="112"/>
      <c r="J45" s="114"/>
      <c r="K45" s="114"/>
      <c r="L45" s="114"/>
      <c r="M45" s="115"/>
      <c r="N45" s="60"/>
      <c r="O45" s="60" t="str">
        <f t="shared" si="0"/>
        <v/>
      </c>
      <c r="P45" s="61" t="str">
        <f t="shared" si="3"/>
        <v>-</v>
      </c>
      <c r="Q45" s="61"/>
      <c r="R45" s="61"/>
      <c r="S45" s="61"/>
      <c r="T45" s="61"/>
      <c r="U45" s="61"/>
    </row>
    <row r="46" spans="1:21" s="140" customFormat="1" ht="24.95" customHeight="1">
      <c r="A46" s="111">
        <v>40</v>
      </c>
      <c r="B46" s="111"/>
      <c r="C46" s="122"/>
      <c r="D46" s="112"/>
      <c r="E46" s="112"/>
      <c r="F46" s="112"/>
      <c r="G46" s="112"/>
      <c r="H46" s="112"/>
      <c r="I46" s="112"/>
      <c r="J46" s="114"/>
      <c r="K46" s="114"/>
      <c r="L46" s="114"/>
      <c r="M46" s="115"/>
      <c r="N46" s="138"/>
      <c r="O46" s="138" t="str">
        <f t="shared" si="0"/>
        <v/>
      </c>
      <c r="P46" s="139" t="str">
        <f t="shared" si="3"/>
        <v>-</v>
      </c>
      <c r="Q46" s="139"/>
      <c r="R46" s="61"/>
      <c r="S46" s="61"/>
      <c r="T46" s="61"/>
      <c r="U46" s="139"/>
    </row>
    <row r="47" spans="1:21" s="62" customFormat="1" ht="24.95" customHeight="1">
      <c r="A47" s="111">
        <v>41</v>
      </c>
      <c r="B47" s="111"/>
      <c r="C47" s="122"/>
      <c r="D47" s="112"/>
      <c r="E47" s="112"/>
      <c r="F47" s="112"/>
      <c r="G47" s="112"/>
      <c r="H47" s="112"/>
      <c r="I47" s="112"/>
      <c r="J47" s="114"/>
      <c r="K47" s="114"/>
      <c r="L47" s="114"/>
      <c r="M47" s="115"/>
      <c r="N47" s="60"/>
      <c r="O47" s="60" t="str">
        <f t="shared" si="0"/>
        <v/>
      </c>
      <c r="P47" s="61" t="str">
        <f t="shared" si="3"/>
        <v>-</v>
      </c>
      <c r="Q47" s="61"/>
      <c r="R47" s="61"/>
      <c r="S47" s="61"/>
      <c r="T47" s="61"/>
      <c r="U47" s="61"/>
    </row>
    <row r="48" spans="1:21" s="62" customFormat="1" ht="24.95" customHeight="1">
      <c r="A48" s="111">
        <v>42</v>
      </c>
      <c r="B48" s="111"/>
      <c r="C48" s="130"/>
      <c r="D48" s="112"/>
      <c r="E48" s="112"/>
      <c r="F48" s="112"/>
      <c r="G48" s="112"/>
      <c r="H48" s="112"/>
      <c r="I48" s="112"/>
      <c r="J48" s="114"/>
      <c r="K48" s="114"/>
      <c r="L48" s="114"/>
      <c r="M48" s="115"/>
      <c r="N48" s="60"/>
      <c r="O48" s="60" t="str">
        <f t="shared" si="0"/>
        <v/>
      </c>
      <c r="P48" s="61" t="str">
        <f t="shared" si="3"/>
        <v>-</v>
      </c>
      <c r="Q48" s="61"/>
      <c r="R48" s="61"/>
      <c r="S48" s="61"/>
      <c r="T48" s="61"/>
      <c r="U48" s="61"/>
    </row>
    <row r="49" spans="1:77" s="62" customFormat="1" ht="24.95" customHeight="1">
      <c r="A49" s="111">
        <v>43</v>
      </c>
      <c r="B49" s="111"/>
      <c r="C49" s="130"/>
      <c r="D49" s="112"/>
      <c r="E49" s="112"/>
      <c r="F49" s="112"/>
      <c r="G49" s="112"/>
      <c r="H49" s="112"/>
      <c r="I49" s="112"/>
      <c r="J49" s="114"/>
      <c r="K49" s="114"/>
      <c r="L49" s="114"/>
      <c r="M49" s="115"/>
      <c r="N49" s="60"/>
      <c r="O49" s="60" t="str">
        <f t="shared" si="0"/>
        <v/>
      </c>
      <c r="P49" s="61" t="str">
        <f t="shared" si="3"/>
        <v>-</v>
      </c>
      <c r="Q49" s="61"/>
      <c r="R49" s="61"/>
      <c r="S49" s="61"/>
      <c r="T49" s="61"/>
      <c r="U49" s="61"/>
    </row>
    <row r="50" spans="1:77" s="62" customFormat="1" ht="24.95" customHeight="1">
      <c r="A50" s="111">
        <v>44</v>
      </c>
      <c r="B50" s="111"/>
      <c r="C50" s="130"/>
      <c r="D50" s="112"/>
      <c r="E50" s="112"/>
      <c r="F50" s="112"/>
      <c r="G50" s="112"/>
      <c r="H50" s="112"/>
      <c r="I50" s="112"/>
      <c r="J50" s="114"/>
      <c r="K50" s="114"/>
      <c r="L50" s="114"/>
      <c r="M50" s="115"/>
      <c r="N50" s="60"/>
      <c r="O50" s="60" t="str">
        <f t="shared" si="0"/>
        <v/>
      </c>
      <c r="P50" s="61" t="str">
        <f t="shared" si="3"/>
        <v>-</v>
      </c>
      <c r="Q50" s="61"/>
      <c r="R50" s="61"/>
      <c r="S50" s="61"/>
      <c r="T50" s="61"/>
      <c r="U50" s="61"/>
    </row>
    <row r="51" spans="1:77" s="62" customFormat="1" ht="24.95" customHeight="1">
      <c r="A51" s="111">
        <v>45</v>
      </c>
      <c r="B51" s="111"/>
      <c r="C51" s="130"/>
      <c r="D51" s="112"/>
      <c r="E51" s="112"/>
      <c r="F51" s="112"/>
      <c r="G51" s="112"/>
      <c r="H51" s="112"/>
      <c r="I51" s="112"/>
      <c r="J51" s="114"/>
      <c r="K51" s="114"/>
      <c r="L51" s="114"/>
      <c r="M51" s="115"/>
      <c r="N51" s="60"/>
      <c r="O51" s="60" t="str">
        <f t="shared" si="0"/>
        <v/>
      </c>
      <c r="P51" s="61" t="str">
        <f t="shared" si="3"/>
        <v>-</v>
      </c>
      <c r="Q51" s="61"/>
      <c r="R51" s="61"/>
      <c r="S51" s="61"/>
      <c r="T51" s="61"/>
      <c r="U51" s="61"/>
    </row>
    <row r="52" spans="1:77" s="62" customFormat="1" ht="24.95" customHeight="1">
      <c r="A52" s="111">
        <v>46</v>
      </c>
      <c r="B52" s="111"/>
      <c r="C52" s="130"/>
      <c r="D52" s="112"/>
      <c r="E52" s="112"/>
      <c r="F52" s="112"/>
      <c r="G52" s="112"/>
      <c r="H52" s="112"/>
      <c r="I52" s="112"/>
      <c r="J52" s="114"/>
      <c r="K52" s="114"/>
      <c r="L52" s="114"/>
      <c r="M52" s="115"/>
      <c r="N52" s="60"/>
      <c r="O52" s="60" t="str">
        <f>CONCATENATE(D52,H52)</f>
        <v/>
      </c>
      <c r="P52" s="61" t="str">
        <f>IF(E52&gt;=G52,"-","err")</f>
        <v>-</v>
      </c>
      <c r="Q52" s="61"/>
      <c r="R52" s="61"/>
      <c r="S52" s="61"/>
      <c r="T52" s="61"/>
      <c r="U52" s="61"/>
    </row>
    <row r="53" spans="1:77" s="62" customFormat="1" ht="24.95" customHeight="1">
      <c r="A53" s="111">
        <v>47</v>
      </c>
      <c r="B53" s="111"/>
      <c r="C53" s="130"/>
      <c r="D53" s="112"/>
      <c r="E53" s="112"/>
      <c r="F53" s="112"/>
      <c r="G53" s="112"/>
      <c r="H53" s="112"/>
      <c r="I53" s="112"/>
      <c r="J53" s="114"/>
      <c r="K53" s="114"/>
      <c r="L53" s="114"/>
      <c r="M53" s="115"/>
      <c r="N53" s="60"/>
      <c r="O53" s="60" t="str">
        <f t="shared" si="0"/>
        <v/>
      </c>
      <c r="P53" s="61" t="str">
        <f t="shared" si="3"/>
        <v>-</v>
      </c>
      <c r="Q53" s="61"/>
      <c r="R53" s="61"/>
      <c r="S53" s="61"/>
      <c r="T53" s="61"/>
      <c r="U53" s="61"/>
    </row>
    <row r="54" spans="1:77" s="62" customFormat="1" ht="24.95" customHeight="1">
      <c r="A54" s="111">
        <v>48</v>
      </c>
      <c r="B54" s="111"/>
      <c r="C54" s="130"/>
      <c r="D54" s="112"/>
      <c r="E54" s="112"/>
      <c r="F54" s="112"/>
      <c r="G54" s="112"/>
      <c r="H54" s="112"/>
      <c r="I54" s="112"/>
      <c r="J54" s="114"/>
      <c r="K54" s="114"/>
      <c r="L54" s="114"/>
      <c r="M54" s="115"/>
      <c r="N54" s="60"/>
      <c r="O54" s="60" t="str">
        <f t="shared" si="0"/>
        <v/>
      </c>
      <c r="P54" s="61" t="str">
        <f t="shared" si="3"/>
        <v>-</v>
      </c>
      <c r="Q54" s="61"/>
      <c r="R54" s="61"/>
      <c r="S54" s="61"/>
      <c r="T54" s="61"/>
      <c r="U54" s="61"/>
    </row>
    <row r="55" spans="1:77" s="62" customFormat="1" ht="24.95" customHeight="1">
      <c r="A55" s="111"/>
      <c r="B55" s="111"/>
      <c r="C55" s="130"/>
      <c r="D55" s="112"/>
      <c r="E55" s="112"/>
      <c r="F55" s="112"/>
      <c r="G55" s="112"/>
      <c r="H55" s="112"/>
      <c r="I55" s="112"/>
      <c r="J55" s="114"/>
      <c r="K55" s="114"/>
      <c r="L55" s="114"/>
      <c r="M55" s="115"/>
      <c r="N55" s="60"/>
      <c r="O55" s="60" t="str">
        <f t="shared" si="0"/>
        <v/>
      </c>
      <c r="P55" s="61" t="str">
        <f t="shared" si="3"/>
        <v>-</v>
      </c>
      <c r="Q55" s="61"/>
      <c r="R55" s="61"/>
      <c r="S55" s="61"/>
      <c r="T55" s="61"/>
      <c r="U55" s="61"/>
    </row>
    <row r="56" spans="1:77" s="62" customFormat="1" ht="24.95" customHeight="1">
      <c r="A56" s="111"/>
      <c r="B56" s="111"/>
      <c r="C56" s="111"/>
      <c r="D56" s="112"/>
      <c r="E56" s="112"/>
      <c r="F56" s="112"/>
      <c r="G56" s="112"/>
      <c r="H56" s="112"/>
      <c r="I56" s="112"/>
      <c r="J56" s="114"/>
      <c r="K56" s="114"/>
      <c r="L56" s="114"/>
      <c r="M56" s="115"/>
      <c r="N56" s="60"/>
      <c r="O56" s="60" t="str">
        <f t="shared" si="0"/>
        <v/>
      </c>
      <c r="P56" s="61" t="str">
        <f t="shared" si="3"/>
        <v>-</v>
      </c>
      <c r="Q56" s="61"/>
      <c r="R56" s="61"/>
      <c r="S56" s="61"/>
      <c r="T56" s="61"/>
      <c r="U56" s="61"/>
    </row>
    <row r="57" spans="1:77" s="73" customFormat="1" ht="24.95" customHeight="1">
      <c r="A57" s="117" t="s">
        <v>41</v>
      </c>
      <c r="B57" s="117"/>
      <c r="C57" s="117"/>
      <c r="D57" s="118"/>
      <c r="E57" s="119"/>
      <c r="F57" s="119"/>
      <c r="G57" s="119">
        <f>SUM(G32:G56)</f>
        <v>0</v>
      </c>
      <c r="H57" s="120"/>
      <c r="I57" s="120"/>
      <c r="J57" s="120"/>
      <c r="K57" s="120"/>
      <c r="L57" s="120"/>
      <c r="M57" s="121"/>
      <c r="N57" s="60"/>
      <c r="O57" s="60" t="str">
        <f t="shared" si="0"/>
        <v/>
      </c>
      <c r="P57" s="61"/>
      <c r="Q57" s="61"/>
      <c r="R57" s="61"/>
      <c r="S57" s="61"/>
      <c r="T57" s="61"/>
      <c r="U57" s="61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</row>
    <row r="58" spans="1:77" s="62" customFormat="1" ht="24.95" customHeight="1">
      <c r="A58" s="58"/>
      <c r="B58" s="161"/>
      <c r="C58" s="82"/>
      <c r="D58" s="59"/>
      <c r="E58" s="59"/>
      <c r="F58" s="59"/>
      <c r="G58" s="59"/>
      <c r="H58" s="59"/>
      <c r="I58" s="59"/>
      <c r="J58" s="43"/>
      <c r="K58" s="43"/>
      <c r="L58" s="43"/>
      <c r="M58" s="16"/>
      <c r="N58" s="60"/>
      <c r="O58" s="60" t="str">
        <f t="shared" si="0"/>
        <v/>
      </c>
      <c r="P58" s="61" t="str">
        <f t="shared" ref="P58:P77" si="4">IF(E58&gt;=G58,"-","err")</f>
        <v>-</v>
      </c>
      <c r="Q58" s="61"/>
      <c r="R58" s="61"/>
      <c r="S58" s="61"/>
      <c r="T58" s="61"/>
      <c r="U58" s="61"/>
    </row>
    <row r="59" spans="1:77" s="62" customFormat="1" ht="24.95" customHeight="1">
      <c r="A59" s="92"/>
      <c r="B59" s="162"/>
      <c r="C59" s="96"/>
      <c r="D59" s="93"/>
      <c r="E59" s="93"/>
      <c r="F59" s="93"/>
      <c r="G59" s="93"/>
      <c r="H59" s="93"/>
      <c r="I59" s="93"/>
      <c r="J59" s="94"/>
      <c r="K59" s="94"/>
      <c r="L59" s="94"/>
      <c r="M59" s="95"/>
      <c r="N59" s="60"/>
      <c r="O59" s="60" t="str">
        <f t="shared" si="0"/>
        <v/>
      </c>
      <c r="P59" s="61" t="str">
        <f t="shared" si="4"/>
        <v>-</v>
      </c>
      <c r="Q59" s="61"/>
      <c r="R59" s="61"/>
      <c r="S59" s="61"/>
      <c r="T59" s="61"/>
      <c r="U59" s="61"/>
    </row>
    <row r="60" spans="1:77" s="62" customFormat="1" ht="24.95" customHeight="1">
      <c r="A60" s="63"/>
      <c r="B60" s="163"/>
      <c r="C60" s="83"/>
      <c r="D60" s="65"/>
      <c r="E60" s="65"/>
      <c r="F60" s="65"/>
      <c r="G60" s="65"/>
      <c r="H60" s="65"/>
      <c r="I60" s="65"/>
      <c r="J60" s="44"/>
      <c r="K60" s="44"/>
      <c r="L60" s="44"/>
      <c r="M60" s="17"/>
      <c r="N60" s="60"/>
      <c r="O60" s="60" t="str">
        <f t="shared" si="0"/>
        <v/>
      </c>
      <c r="P60" s="61" t="str">
        <f t="shared" si="4"/>
        <v>-</v>
      </c>
      <c r="Q60" s="61"/>
      <c r="R60" s="61"/>
      <c r="S60" s="61"/>
      <c r="T60" s="61"/>
      <c r="U60" s="61"/>
    </row>
    <row r="61" spans="1:77" s="62" customFormat="1" ht="24.95" customHeight="1">
      <c r="A61" s="63"/>
      <c r="B61" s="163"/>
      <c r="C61" s="84"/>
      <c r="D61" s="65"/>
      <c r="E61" s="65"/>
      <c r="F61" s="65"/>
      <c r="G61" s="65"/>
      <c r="H61" s="65"/>
      <c r="I61" s="65"/>
      <c r="J61" s="44"/>
      <c r="K61" s="44"/>
      <c r="L61" s="44"/>
      <c r="M61" s="17"/>
      <c r="N61" s="60"/>
      <c r="O61" s="60" t="str">
        <f t="shared" si="0"/>
        <v/>
      </c>
      <c r="P61" s="61" t="str">
        <f t="shared" si="4"/>
        <v>-</v>
      </c>
      <c r="Q61" s="61"/>
      <c r="R61" s="61"/>
      <c r="S61" s="61"/>
      <c r="T61" s="61"/>
      <c r="U61" s="61"/>
    </row>
    <row r="62" spans="1:77" s="62" customFormat="1" ht="24.95" customHeight="1">
      <c r="A62" s="63"/>
      <c r="B62" s="163"/>
      <c r="C62" s="89"/>
      <c r="D62" s="65"/>
      <c r="E62" s="65"/>
      <c r="F62" s="65"/>
      <c r="G62" s="65"/>
      <c r="H62" s="65"/>
      <c r="I62" s="65"/>
      <c r="J62" s="44"/>
      <c r="K62" s="44"/>
      <c r="L62" s="44"/>
      <c r="M62" s="17"/>
      <c r="N62" s="60"/>
      <c r="O62" s="60" t="str">
        <f t="shared" si="0"/>
        <v/>
      </c>
      <c r="P62" s="61" t="str">
        <f t="shared" si="4"/>
        <v>-</v>
      </c>
      <c r="Q62" s="61"/>
      <c r="R62" s="61"/>
      <c r="S62" s="61"/>
      <c r="T62" s="61"/>
      <c r="U62" s="61"/>
    </row>
    <row r="63" spans="1:77" s="62" customFormat="1" ht="24.95" customHeight="1">
      <c r="A63" s="63"/>
      <c r="B63" s="163"/>
      <c r="C63" s="89"/>
      <c r="D63" s="65"/>
      <c r="E63" s="65"/>
      <c r="F63" s="65"/>
      <c r="G63" s="65"/>
      <c r="H63" s="65"/>
      <c r="I63" s="65"/>
      <c r="J63" s="44"/>
      <c r="K63" s="44"/>
      <c r="L63" s="44"/>
      <c r="M63" s="17"/>
      <c r="N63" s="60"/>
      <c r="O63" s="60" t="str">
        <f t="shared" si="0"/>
        <v/>
      </c>
      <c r="P63" s="61" t="str">
        <f t="shared" si="4"/>
        <v>-</v>
      </c>
      <c r="Q63" s="61"/>
      <c r="R63" s="61"/>
      <c r="S63" s="61"/>
      <c r="T63" s="61"/>
      <c r="U63" s="61"/>
    </row>
    <row r="64" spans="1:77" s="62" customFormat="1" ht="24.95" customHeight="1">
      <c r="A64" s="63"/>
      <c r="B64" s="163"/>
      <c r="C64" s="89"/>
      <c r="D64" s="65"/>
      <c r="E64" s="65"/>
      <c r="F64" s="65"/>
      <c r="G64" s="65"/>
      <c r="H64" s="65"/>
      <c r="I64" s="65"/>
      <c r="J64" s="44"/>
      <c r="K64" s="44"/>
      <c r="L64" s="44"/>
      <c r="M64" s="17"/>
      <c r="N64" s="60"/>
      <c r="O64" s="60" t="str">
        <f t="shared" si="0"/>
        <v/>
      </c>
      <c r="P64" s="61" t="str">
        <f t="shared" si="4"/>
        <v>-</v>
      </c>
      <c r="Q64" s="61"/>
      <c r="R64" s="61"/>
      <c r="S64" s="61"/>
      <c r="T64" s="61"/>
      <c r="U64" s="61"/>
    </row>
    <row r="65" spans="1:77" s="62" customFormat="1" ht="24.95" customHeight="1">
      <c r="A65" s="63"/>
      <c r="B65" s="163"/>
      <c r="C65" s="89"/>
      <c r="D65" s="65"/>
      <c r="E65" s="65"/>
      <c r="F65" s="65"/>
      <c r="G65" s="65"/>
      <c r="H65" s="65"/>
      <c r="I65" s="65"/>
      <c r="J65" s="44"/>
      <c r="K65" s="44"/>
      <c r="L65" s="44"/>
      <c r="M65" s="17"/>
      <c r="N65" s="60"/>
      <c r="O65" s="60" t="str">
        <f t="shared" si="0"/>
        <v/>
      </c>
      <c r="P65" s="61" t="str">
        <f t="shared" si="4"/>
        <v>-</v>
      </c>
      <c r="Q65" s="61"/>
      <c r="R65" s="61"/>
      <c r="S65" s="61"/>
      <c r="T65" s="61"/>
      <c r="U65" s="61"/>
    </row>
    <row r="66" spans="1:77" s="62" customFormat="1" ht="24.95" customHeight="1">
      <c r="A66" s="63"/>
      <c r="B66" s="163"/>
      <c r="C66" s="89"/>
      <c r="D66" s="65"/>
      <c r="E66" s="65"/>
      <c r="F66" s="65"/>
      <c r="G66" s="65"/>
      <c r="H66" s="65"/>
      <c r="I66" s="65"/>
      <c r="J66" s="44"/>
      <c r="K66" s="44"/>
      <c r="L66" s="44"/>
      <c r="M66" s="17"/>
      <c r="N66" s="60"/>
      <c r="O66" s="60" t="str">
        <f t="shared" si="0"/>
        <v/>
      </c>
      <c r="P66" s="61" t="str">
        <f t="shared" si="4"/>
        <v>-</v>
      </c>
      <c r="Q66" s="61"/>
      <c r="R66" s="61"/>
      <c r="S66" s="61"/>
      <c r="T66" s="61"/>
      <c r="U66" s="61"/>
    </row>
    <row r="67" spans="1:77" s="62" customFormat="1" ht="24.95" customHeight="1">
      <c r="A67" s="63"/>
      <c r="B67" s="163"/>
      <c r="C67" s="89"/>
      <c r="D67" s="65"/>
      <c r="E67" s="65"/>
      <c r="F67" s="65"/>
      <c r="G67" s="65"/>
      <c r="H67" s="65"/>
      <c r="I67" s="65"/>
      <c r="J67" s="44"/>
      <c r="K67" s="44"/>
      <c r="L67" s="44"/>
      <c r="M67" s="17"/>
      <c r="N67" s="60"/>
      <c r="O67" s="60" t="str">
        <f t="shared" si="0"/>
        <v/>
      </c>
      <c r="P67" s="61" t="str">
        <f t="shared" si="4"/>
        <v>-</v>
      </c>
      <c r="Q67" s="61"/>
      <c r="R67" s="61"/>
      <c r="S67" s="61"/>
      <c r="T67" s="61"/>
      <c r="U67" s="61"/>
    </row>
    <row r="68" spans="1:77" s="62" customFormat="1" ht="24.95" customHeight="1">
      <c r="A68" s="63"/>
      <c r="B68" s="163"/>
      <c r="C68" s="89"/>
      <c r="D68" s="65"/>
      <c r="E68" s="65"/>
      <c r="F68" s="65"/>
      <c r="G68" s="65"/>
      <c r="H68" s="65"/>
      <c r="I68" s="65"/>
      <c r="J68" s="44"/>
      <c r="K68" s="44"/>
      <c r="L68" s="44"/>
      <c r="M68" s="17"/>
      <c r="N68" s="60"/>
      <c r="O68" s="60" t="str">
        <f t="shared" si="0"/>
        <v/>
      </c>
      <c r="P68" s="61" t="str">
        <f t="shared" si="4"/>
        <v>-</v>
      </c>
      <c r="Q68" s="61"/>
      <c r="R68" s="61"/>
      <c r="S68" s="61"/>
      <c r="T68" s="61"/>
      <c r="U68" s="61"/>
    </row>
    <row r="69" spans="1:77" s="62" customFormat="1" ht="24.95" customHeight="1">
      <c r="A69" s="63"/>
      <c r="B69" s="163"/>
      <c r="C69" s="64"/>
      <c r="D69" s="65"/>
      <c r="E69" s="65"/>
      <c r="F69" s="65"/>
      <c r="G69" s="65"/>
      <c r="H69" s="65"/>
      <c r="I69" s="65"/>
      <c r="J69" s="44"/>
      <c r="K69" s="44"/>
      <c r="L69" s="44"/>
      <c r="M69" s="17"/>
      <c r="N69" s="60"/>
      <c r="O69" s="60" t="str">
        <f t="shared" si="0"/>
        <v/>
      </c>
      <c r="P69" s="61" t="str">
        <f t="shared" si="4"/>
        <v>-</v>
      </c>
      <c r="Q69" s="61"/>
      <c r="R69" s="61"/>
      <c r="S69" s="61"/>
      <c r="T69" s="61"/>
      <c r="U69" s="61"/>
    </row>
    <row r="70" spans="1:77" s="62" customFormat="1" ht="24.95" customHeight="1">
      <c r="A70" s="63"/>
      <c r="B70" s="163"/>
      <c r="C70" s="64"/>
      <c r="D70" s="65"/>
      <c r="E70" s="65"/>
      <c r="F70" s="65"/>
      <c r="G70" s="65"/>
      <c r="H70" s="65"/>
      <c r="I70" s="65"/>
      <c r="J70" s="44"/>
      <c r="K70" s="44"/>
      <c r="L70" s="44"/>
      <c r="M70" s="17"/>
      <c r="N70" s="60"/>
      <c r="O70" s="60" t="str">
        <f t="shared" si="0"/>
        <v/>
      </c>
      <c r="P70" s="61" t="str">
        <f t="shared" si="4"/>
        <v>-</v>
      </c>
      <c r="Q70" s="61"/>
      <c r="R70" s="61"/>
      <c r="S70" s="61"/>
      <c r="T70" s="61"/>
      <c r="U70" s="61"/>
    </row>
    <row r="71" spans="1:77" s="62" customFormat="1" ht="24.95" customHeight="1">
      <c r="A71" s="63"/>
      <c r="B71" s="163"/>
      <c r="C71" s="64"/>
      <c r="D71" s="65"/>
      <c r="E71" s="65"/>
      <c r="F71" s="65"/>
      <c r="G71" s="65"/>
      <c r="H71" s="65"/>
      <c r="I71" s="65"/>
      <c r="J71" s="44"/>
      <c r="K71" s="44"/>
      <c r="L71" s="44"/>
      <c r="M71" s="17"/>
      <c r="N71" s="60"/>
      <c r="O71" s="60" t="str">
        <f t="shared" si="0"/>
        <v/>
      </c>
      <c r="P71" s="61" t="str">
        <f t="shared" si="4"/>
        <v>-</v>
      </c>
      <c r="Q71" s="61"/>
      <c r="R71" s="61"/>
      <c r="S71" s="61"/>
      <c r="T71" s="61"/>
      <c r="U71" s="61"/>
    </row>
    <row r="72" spans="1:77" s="62" customFormat="1" ht="24.95" customHeight="1">
      <c r="A72" s="63"/>
      <c r="B72" s="163"/>
      <c r="C72" s="64"/>
      <c r="D72" s="65"/>
      <c r="E72" s="65"/>
      <c r="F72" s="65"/>
      <c r="G72" s="65"/>
      <c r="H72" s="65"/>
      <c r="I72" s="65"/>
      <c r="J72" s="44"/>
      <c r="K72" s="44"/>
      <c r="L72" s="44"/>
      <c r="M72" s="17"/>
      <c r="N72" s="60"/>
      <c r="O72" s="60" t="str">
        <f t="shared" ref="O72:O147" si="5">CONCATENATE(D72,H72)</f>
        <v/>
      </c>
      <c r="P72" s="61" t="str">
        <f t="shared" si="4"/>
        <v>-</v>
      </c>
      <c r="Q72" s="61"/>
      <c r="R72" s="61"/>
      <c r="S72" s="61"/>
      <c r="T72" s="61"/>
      <c r="U72" s="61"/>
    </row>
    <row r="73" spans="1:77" s="62" customFormat="1" ht="24.95" customHeight="1">
      <c r="A73" s="63"/>
      <c r="B73" s="163"/>
      <c r="C73" s="64"/>
      <c r="D73" s="65"/>
      <c r="E73" s="65"/>
      <c r="F73" s="65"/>
      <c r="G73" s="65"/>
      <c r="H73" s="65"/>
      <c r="I73" s="65"/>
      <c r="J73" s="44"/>
      <c r="K73" s="44"/>
      <c r="L73" s="44"/>
      <c r="M73" s="17"/>
      <c r="N73" s="60"/>
      <c r="O73" s="60" t="str">
        <f t="shared" si="5"/>
        <v/>
      </c>
      <c r="P73" s="61" t="str">
        <f t="shared" si="4"/>
        <v>-</v>
      </c>
      <c r="Q73" s="61"/>
      <c r="R73" s="61"/>
      <c r="S73" s="61"/>
      <c r="T73" s="61"/>
      <c r="U73" s="61"/>
    </row>
    <row r="74" spans="1:77" s="62" customFormat="1" ht="24.95" customHeight="1">
      <c r="A74" s="63"/>
      <c r="B74" s="163"/>
      <c r="C74" s="64"/>
      <c r="D74" s="65"/>
      <c r="E74" s="65"/>
      <c r="F74" s="65"/>
      <c r="G74" s="65"/>
      <c r="H74" s="65"/>
      <c r="I74" s="65"/>
      <c r="J74" s="44"/>
      <c r="K74" s="44"/>
      <c r="L74" s="44"/>
      <c r="M74" s="17"/>
      <c r="N74" s="60"/>
      <c r="O74" s="60" t="str">
        <f t="shared" si="5"/>
        <v/>
      </c>
      <c r="P74" s="61" t="str">
        <f t="shared" si="4"/>
        <v>-</v>
      </c>
      <c r="Q74" s="61"/>
      <c r="R74" s="61"/>
      <c r="S74" s="61"/>
      <c r="T74" s="61"/>
      <c r="U74" s="61"/>
    </row>
    <row r="75" spans="1:77" s="62" customFormat="1" ht="24.95" customHeight="1">
      <c r="A75" s="63"/>
      <c r="B75" s="163"/>
      <c r="C75" s="64"/>
      <c r="D75" s="65"/>
      <c r="E75" s="65"/>
      <c r="F75" s="65"/>
      <c r="G75" s="65"/>
      <c r="H75" s="65"/>
      <c r="I75" s="65"/>
      <c r="J75" s="44"/>
      <c r="K75" s="44"/>
      <c r="L75" s="44"/>
      <c r="M75" s="17"/>
      <c r="N75" s="60"/>
      <c r="O75" s="60" t="str">
        <f t="shared" si="5"/>
        <v/>
      </c>
      <c r="P75" s="61" t="str">
        <f t="shared" si="4"/>
        <v>-</v>
      </c>
      <c r="Q75" s="61"/>
      <c r="R75" s="61"/>
      <c r="S75" s="61"/>
      <c r="T75" s="61"/>
      <c r="U75" s="61"/>
    </row>
    <row r="76" spans="1:77" s="62" customFormat="1" ht="24.95" customHeight="1">
      <c r="A76" s="63"/>
      <c r="B76" s="163"/>
      <c r="C76" s="64"/>
      <c r="D76" s="65"/>
      <c r="E76" s="65"/>
      <c r="F76" s="65"/>
      <c r="G76" s="65"/>
      <c r="H76" s="65"/>
      <c r="I76" s="65"/>
      <c r="J76" s="44"/>
      <c r="K76" s="44"/>
      <c r="L76" s="44"/>
      <c r="M76" s="17"/>
      <c r="N76" s="60"/>
      <c r="O76" s="60" t="str">
        <f t="shared" si="5"/>
        <v/>
      </c>
      <c r="P76" s="61" t="str">
        <f t="shared" si="4"/>
        <v>-</v>
      </c>
      <c r="Q76" s="61"/>
      <c r="R76" s="61"/>
      <c r="S76" s="61"/>
      <c r="T76" s="61"/>
      <c r="U76" s="61"/>
    </row>
    <row r="77" spans="1:77" s="62" customFormat="1" ht="24.95" customHeight="1">
      <c r="A77" s="63"/>
      <c r="B77" s="163"/>
      <c r="C77" s="64"/>
      <c r="D77" s="65"/>
      <c r="E77" s="65"/>
      <c r="F77" s="65"/>
      <c r="G77" s="65"/>
      <c r="H77" s="65"/>
      <c r="I77" s="65"/>
      <c r="J77" s="44"/>
      <c r="K77" s="44"/>
      <c r="L77" s="44"/>
      <c r="M77" s="17"/>
      <c r="N77" s="60"/>
      <c r="O77" s="60" t="str">
        <f t="shared" si="5"/>
        <v/>
      </c>
      <c r="P77" s="61" t="str">
        <f t="shared" si="4"/>
        <v>-</v>
      </c>
      <c r="Q77" s="61"/>
      <c r="R77" s="61"/>
      <c r="S77" s="61"/>
      <c r="T77" s="61"/>
      <c r="U77" s="61"/>
    </row>
    <row r="78" spans="1:77" s="73" customFormat="1" ht="24.95" customHeight="1">
      <c r="A78" s="66" t="s">
        <v>41</v>
      </c>
      <c r="B78" s="67"/>
      <c r="C78" s="67"/>
      <c r="D78" s="68"/>
      <c r="E78" s="69"/>
      <c r="F78" s="69"/>
      <c r="G78" s="69">
        <f>SUM(G58:G77)</f>
        <v>0</v>
      </c>
      <c r="H78" s="70"/>
      <c r="I78" s="70"/>
      <c r="J78" s="70"/>
      <c r="K78" s="70"/>
      <c r="L78" s="70"/>
      <c r="M78" s="71"/>
      <c r="N78" s="60"/>
      <c r="O78" s="60" t="str">
        <f t="shared" si="5"/>
        <v/>
      </c>
      <c r="P78" s="61"/>
      <c r="Q78" s="61"/>
      <c r="R78" s="61"/>
      <c r="S78" s="61"/>
      <c r="T78" s="61"/>
      <c r="U78" s="61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</row>
    <row r="79" spans="1:77" s="62" customFormat="1" ht="24.95" customHeight="1">
      <c r="A79" s="58"/>
      <c r="B79" s="161"/>
      <c r="C79" s="82"/>
      <c r="D79" s="59"/>
      <c r="E79" s="59"/>
      <c r="F79" s="59"/>
      <c r="G79" s="59"/>
      <c r="H79" s="59"/>
      <c r="I79" s="59"/>
      <c r="J79" s="43"/>
      <c r="K79" s="43"/>
      <c r="L79" s="43"/>
      <c r="M79" s="16"/>
      <c r="N79" s="60"/>
      <c r="O79" s="60" t="str">
        <f t="shared" si="5"/>
        <v/>
      </c>
      <c r="P79" s="61" t="str">
        <f t="shared" ref="P79:P98" si="6">IF(E79&gt;=G79,"-","err")</f>
        <v>-</v>
      </c>
      <c r="Q79" s="61"/>
      <c r="R79" s="61"/>
      <c r="S79" s="61"/>
      <c r="T79" s="61"/>
      <c r="U79" s="61"/>
    </row>
    <row r="80" spans="1:77" s="62" customFormat="1" ht="24.95" customHeight="1">
      <c r="A80" s="92"/>
      <c r="B80" s="162"/>
      <c r="C80" s="96"/>
      <c r="D80" s="93"/>
      <c r="E80" s="93"/>
      <c r="F80" s="93"/>
      <c r="G80" s="93"/>
      <c r="H80" s="93"/>
      <c r="I80" s="93"/>
      <c r="J80" s="94"/>
      <c r="K80" s="94"/>
      <c r="L80" s="94"/>
      <c r="M80" s="95"/>
      <c r="N80" s="60"/>
      <c r="O80" s="60" t="str">
        <f t="shared" si="5"/>
        <v/>
      </c>
      <c r="P80" s="61" t="str">
        <f t="shared" si="6"/>
        <v>-</v>
      </c>
      <c r="Q80" s="61"/>
      <c r="R80" s="61"/>
      <c r="S80" s="61"/>
      <c r="T80" s="61"/>
      <c r="U80" s="61"/>
    </row>
    <row r="81" spans="1:21" s="62" customFormat="1" ht="24.95" customHeight="1">
      <c r="A81" s="63"/>
      <c r="B81" s="163"/>
      <c r="C81" s="83"/>
      <c r="D81" s="65"/>
      <c r="E81" s="65"/>
      <c r="F81" s="65"/>
      <c r="G81" s="65"/>
      <c r="H81" s="65"/>
      <c r="I81" s="65"/>
      <c r="J81" s="44"/>
      <c r="K81" s="44"/>
      <c r="L81" s="44"/>
      <c r="M81" s="17"/>
      <c r="N81" s="60"/>
      <c r="O81" s="60" t="str">
        <f t="shared" si="5"/>
        <v/>
      </c>
      <c r="P81" s="61" t="str">
        <f t="shared" si="6"/>
        <v>-</v>
      </c>
      <c r="Q81" s="61"/>
      <c r="R81" s="61"/>
      <c r="S81" s="61"/>
      <c r="T81" s="61"/>
      <c r="U81" s="61"/>
    </row>
    <row r="82" spans="1:21" s="62" customFormat="1" ht="24.95" customHeight="1">
      <c r="A82" s="63"/>
      <c r="B82" s="163"/>
      <c r="C82" s="84"/>
      <c r="D82" s="65"/>
      <c r="E82" s="65"/>
      <c r="F82" s="65"/>
      <c r="G82" s="65"/>
      <c r="H82" s="65"/>
      <c r="I82" s="65"/>
      <c r="J82" s="44"/>
      <c r="K82" s="44"/>
      <c r="L82" s="44"/>
      <c r="M82" s="17"/>
      <c r="N82" s="60"/>
      <c r="O82" s="60" t="str">
        <f t="shared" si="5"/>
        <v/>
      </c>
      <c r="P82" s="61" t="str">
        <f t="shared" si="6"/>
        <v>-</v>
      </c>
      <c r="Q82" s="61"/>
      <c r="R82" s="61"/>
      <c r="S82" s="61"/>
      <c r="T82" s="61"/>
      <c r="U82" s="61"/>
    </row>
    <row r="83" spans="1:21" s="62" customFormat="1" ht="35.1" customHeight="1">
      <c r="A83" s="63"/>
      <c r="B83" s="163"/>
      <c r="C83" s="89"/>
      <c r="D83" s="65"/>
      <c r="E83" s="65"/>
      <c r="F83" s="65"/>
      <c r="G83" s="65"/>
      <c r="H83" s="65"/>
      <c r="I83" s="65"/>
      <c r="J83" s="44"/>
      <c r="K83" s="44"/>
      <c r="L83" s="44"/>
      <c r="M83" s="17"/>
      <c r="N83" s="60"/>
      <c r="O83" s="60" t="str">
        <f t="shared" si="5"/>
        <v/>
      </c>
      <c r="P83" s="61" t="str">
        <f t="shared" si="6"/>
        <v>-</v>
      </c>
      <c r="Q83" s="61"/>
      <c r="R83" s="61"/>
      <c r="S83" s="61"/>
      <c r="T83" s="61"/>
      <c r="U83" s="61"/>
    </row>
    <row r="84" spans="1:21" s="62" customFormat="1" ht="35.1" customHeight="1">
      <c r="A84" s="63"/>
      <c r="B84" s="163"/>
      <c r="C84" s="89"/>
      <c r="D84" s="65"/>
      <c r="E84" s="65"/>
      <c r="F84" s="65"/>
      <c r="G84" s="65"/>
      <c r="H84" s="65"/>
      <c r="I84" s="65"/>
      <c r="J84" s="44"/>
      <c r="K84" s="44"/>
      <c r="L84" s="44"/>
      <c r="M84" s="17"/>
      <c r="N84" s="60"/>
      <c r="O84" s="60" t="str">
        <f t="shared" si="5"/>
        <v/>
      </c>
      <c r="P84" s="61" t="str">
        <f t="shared" si="6"/>
        <v>-</v>
      </c>
      <c r="Q84" s="61"/>
      <c r="R84" s="61"/>
      <c r="S84" s="61"/>
      <c r="T84" s="61"/>
      <c r="U84" s="61"/>
    </row>
    <row r="85" spans="1:21" s="62" customFormat="1" ht="35.1" customHeight="1">
      <c r="A85" s="63"/>
      <c r="B85" s="163"/>
      <c r="C85" s="89"/>
      <c r="D85" s="65"/>
      <c r="E85" s="65"/>
      <c r="F85" s="65"/>
      <c r="G85" s="65"/>
      <c r="H85" s="65"/>
      <c r="I85" s="65"/>
      <c r="J85" s="44"/>
      <c r="K85" s="44"/>
      <c r="L85" s="44"/>
      <c r="M85" s="17"/>
      <c r="N85" s="60"/>
      <c r="O85" s="60" t="str">
        <f t="shared" si="5"/>
        <v/>
      </c>
      <c r="P85" s="61" t="str">
        <f t="shared" si="6"/>
        <v>-</v>
      </c>
      <c r="Q85" s="61"/>
      <c r="R85" s="61"/>
      <c r="S85" s="61"/>
      <c r="T85" s="61"/>
      <c r="U85" s="61"/>
    </row>
    <row r="86" spans="1:21" s="62" customFormat="1" ht="35.1" customHeight="1">
      <c r="A86" s="63"/>
      <c r="B86" s="163"/>
      <c r="C86" s="89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60"/>
      <c r="O86" s="60" t="str">
        <f t="shared" si="5"/>
        <v/>
      </c>
      <c r="P86" s="61" t="str">
        <f t="shared" si="6"/>
        <v>-</v>
      </c>
      <c r="Q86" s="61"/>
      <c r="R86" s="61"/>
      <c r="S86" s="61"/>
      <c r="T86" s="61"/>
      <c r="U86" s="61"/>
    </row>
    <row r="87" spans="1:21" s="62" customFormat="1" ht="35.1" customHeight="1">
      <c r="A87" s="63"/>
      <c r="B87" s="163"/>
      <c r="C87" s="89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60"/>
      <c r="O87" s="60" t="str">
        <f t="shared" si="5"/>
        <v/>
      </c>
      <c r="P87" s="61" t="str">
        <f t="shared" si="6"/>
        <v>-</v>
      </c>
      <c r="Q87" s="61"/>
      <c r="R87" s="61"/>
      <c r="S87" s="61"/>
      <c r="T87" s="61"/>
      <c r="U87" s="61"/>
    </row>
    <row r="88" spans="1:21" s="62" customFormat="1" ht="35.1" customHeight="1">
      <c r="A88" s="63"/>
      <c r="B88" s="163"/>
      <c r="C88" s="89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60"/>
      <c r="O88" s="60" t="str">
        <f t="shared" si="5"/>
        <v/>
      </c>
      <c r="P88" s="61" t="str">
        <f t="shared" si="6"/>
        <v>-</v>
      </c>
      <c r="Q88" s="61"/>
      <c r="R88" s="61"/>
      <c r="S88" s="61"/>
      <c r="T88" s="61"/>
      <c r="U88" s="61"/>
    </row>
    <row r="89" spans="1:21" s="62" customFormat="1" ht="35.1" customHeight="1">
      <c r="A89" s="63"/>
      <c r="B89" s="163"/>
      <c r="C89" s="89"/>
      <c r="D89" s="65"/>
      <c r="E89" s="65"/>
      <c r="F89" s="65"/>
      <c r="G89" s="65"/>
      <c r="H89" s="65"/>
      <c r="I89" s="65"/>
      <c r="J89" s="44"/>
      <c r="K89" s="44"/>
      <c r="L89" s="44"/>
      <c r="M89" s="17"/>
      <c r="N89" s="60"/>
      <c r="O89" s="60" t="str">
        <f t="shared" si="5"/>
        <v/>
      </c>
      <c r="P89" s="61" t="str">
        <f t="shared" si="6"/>
        <v>-</v>
      </c>
      <c r="Q89" s="61"/>
      <c r="R89" s="61"/>
      <c r="S89" s="61"/>
      <c r="T89" s="61"/>
      <c r="U89" s="61"/>
    </row>
    <row r="90" spans="1:21" s="62" customFormat="1" ht="35.1" customHeight="1">
      <c r="A90" s="63"/>
      <c r="B90" s="163"/>
      <c r="C90" s="64"/>
      <c r="D90" s="65"/>
      <c r="E90" s="65"/>
      <c r="F90" s="65"/>
      <c r="G90" s="65"/>
      <c r="H90" s="65"/>
      <c r="I90" s="65"/>
      <c r="J90" s="44"/>
      <c r="K90" s="44"/>
      <c r="L90" s="44"/>
      <c r="M90" s="17"/>
      <c r="N90" s="60"/>
      <c r="O90" s="60" t="str">
        <f t="shared" si="5"/>
        <v/>
      </c>
      <c r="P90" s="61" t="str">
        <f t="shared" si="6"/>
        <v>-</v>
      </c>
      <c r="Q90" s="61"/>
      <c r="R90" s="61"/>
      <c r="S90" s="61"/>
      <c r="T90" s="61"/>
      <c r="U90" s="61"/>
    </row>
    <row r="91" spans="1:21" s="62" customFormat="1" ht="35.1" customHeight="1">
      <c r="A91" s="63"/>
      <c r="B91" s="163"/>
      <c r="C91" s="64"/>
      <c r="D91" s="65"/>
      <c r="E91" s="65"/>
      <c r="F91" s="65"/>
      <c r="G91" s="65"/>
      <c r="H91" s="65"/>
      <c r="I91" s="65"/>
      <c r="J91" s="44"/>
      <c r="K91" s="44"/>
      <c r="L91" s="44"/>
      <c r="M91" s="17"/>
      <c r="N91" s="60"/>
      <c r="O91" s="60" t="str">
        <f t="shared" si="5"/>
        <v/>
      </c>
      <c r="P91" s="61" t="str">
        <f t="shared" si="6"/>
        <v>-</v>
      </c>
      <c r="Q91" s="61"/>
      <c r="R91" s="61"/>
      <c r="S91" s="61"/>
      <c r="T91" s="61"/>
      <c r="U91" s="61"/>
    </row>
    <row r="92" spans="1:21" s="62" customFormat="1" ht="35.1" customHeight="1">
      <c r="A92" s="63"/>
      <c r="B92" s="163"/>
      <c r="C92" s="64"/>
      <c r="D92" s="65"/>
      <c r="E92" s="65"/>
      <c r="F92" s="65"/>
      <c r="G92" s="65"/>
      <c r="H92" s="65"/>
      <c r="I92" s="65"/>
      <c r="J92" s="44"/>
      <c r="K92" s="44"/>
      <c r="L92" s="44"/>
      <c r="M92" s="17"/>
      <c r="N92" s="60"/>
      <c r="O92" s="60" t="str">
        <f t="shared" si="5"/>
        <v/>
      </c>
      <c r="P92" s="61" t="str">
        <f t="shared" si="6"/>
        <v>-</v>
      </c>
      <c r="Q92" s="61"/>
      <c r="R92" s="61"/>
      <c r="S92" s="61"/>
      <c r="T92" s="61"/>
      <c r="U92" s="61"/>
    </row>
    <row r="93" spans="1:21" s="62" customFormat="1" ht="35.1" customHeight="1">
      <c r="A93" s="63"/>
      <c r="B93" s="163"/>
      <c r="C93" s="64"/>
      <c r="D93" s="65"/>
      <c r="E93" s="65"/>
      <c r="F93" s="65"/>
      <c r="G93" s="65"/>
      <c r="H93" s="65"/>
      <c r="I93" s="65"/>
      <c r="J93" s="44"/>
      <c r="K93" s="44"/>
      <c r="L93" s="44"/>
      <c r="M93" s="17"/>
      <c r="N93" s="60"/>
      <c r="O93" s="60" t="str">
        <f t="shared" si="5"/>
        <v/>
      </c>
      <c r="P93" s="61" t="str">
        <f t="shared" si="6"/>
        <v>-</v>
      </c>
      <c r="Q93" s="61"/>
      <c r="R93" s="61"/>
      <c r="S93" s="61"/>
      <c r="T93" s="61"/>
      <c r="U93" s="61"/>
    </row>
    <row r="94" spans="1:21" s="62" customFormat="1" ht="35.1" customHeight="1">
      <c r="A94" s="63"/>
      <c r="B94" s="163"/>
      <c r="C94" s="64"/>
      <c r="D94" s="65"/>
      <c r="E94" s="65"/>
      <c r="F94" s="65"/>
      <c r="G94" s="65"/>
      <c r="H94" s="65"/>
      <c r="I94" s="65"/>
      <c r="J94" s="44"/>
      <c r="K94" s="44"/>
      <c r="L94" s="44"/>
      <c r="M94" s="17"/>
      <c r="N94" s="60"/>
      <c r="O94" s="60" t="str">
        <f t="shared" si="5"/>
        <v/>
      </c>
      <c r="P94" s="61" t="str">
        <f t="shared" si="6"/>
        <v>-</v>
      </c>
      <c r="Q94" s="61"/>
      <c r="R94" s="61"/>
      <c r="S94" s="61"/>
      <c r="T94" s="61"/>
      <c r="U94" s="61"/>
    </row>
    <row r="95" spans="1:21" s="62" customFormat="1" ht="35.1" customHeight="1">
      <c r="A95" s="63"/>
      <c r="B95" s="163"/>
      <c r="C95" s="64"/>
      <c r="D95" s="65"/>
      <c r="E95" s="65"/>
      <c r="F95" s="65"/>
      <c r="G95" s="65"/>
      <c r="H95" s="65"/>
      <c r="I95" s="65"/>
      <c r="J95" s="44"/>
      <c r="K95" s="44"/>
      <c r="L95" s="44"/>
      <c r="M95" s="17"/>
      <c r="N95" s="60"/>
      <c r="O95" s="60" t="str">
        <f t="shared" si="5"/>
        <v/>
      </c>
      <c r="P95" s="61" t="str">
        <f t="shared" si="6"/>
        <v>-</v>
      </c>
      <c r="Q95" s="61"/>
      <c r="R95" s="61"/>
      <c r="S95" s="61"/>
      <c r="T95" s="61"/>
      <c r="U95" s="61"/>
    </row>
    <row r="96" spans="1:21" s="62" customFormat="1" ht="35.1" customHeight="1">
      <c r="A96" s="63"/>
      <c r="B96" s="163"/>
      <c r="C96" s="64"/>
      <c r="D96" s="65"/>
      <c r="E96" s="65"/>
      <c r="F96" s="65"/>
      <c r="G96" s="65"/>
      <c r="H96" s="65"/>
      <c r="I96" s="65"/>
      <c r="J96" s="44"/>
      <c r="K96" s="44"/>
      <c r="L96" s="44"/>
      <c r="M96" s="17"/>
      <c r="N96" s="60"/>
      <c r="O96" s="60" t="str">
        <f t="shared" si="5"/>
        <v/>
      </c>
      <c r="P96" s="61" t="str">
        <f t="shared" si="6"/>
        <v>-</v>
      </c>
      <c r="Q96" s="61"/>
      <c r="R96" s="61"/>
      <c r="S96" s="61"/>
      <c r="T96" s="61"/>
      <c r="U96" s="61"/>
    </row>
    <row r="97" spans="1:77" s="62" customFormat="1" ht="35.1" customHeight="1">
      <c r="A97" s="63"/>
      <c r="B97" s="163"/>
      <c r="C97" s="64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60"/>
      <c r="O97" s="60" t="str">
        <f t="shared" si="5"/>
        <v/>
      </c>
      <c r="P97" s="61" t="str">
        <f t="shared" si="6"/>
        <v>-</v>
      </c>
      <c r="Q97" s="61"/>
      <c r="R97" s="61"/>
      <c r="S97" s="61"/>
      <c r="T97" s="61"/>
      <c r="U97" s="61"/>
    </row>
    <row r="98" spans="1:77" s="62" customFormat="1" ht="35.1" customHeight="1">
      <c r="A98" s="63"/>
      <c r="B98" s="163"/>
      <c r="C98" s="64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60"/>
      <c r="O98" s="60" t="str">
        <f t="shared" si="5"/>
        <v/>
      </c>
      <c r="P98" s="61" t="str">
        <f t="shared" si="6"/>
        <v>-</v>
      </c>
      <c r="Q98" s="61"/>
      <c r="R98" s="61"/>
      <c r="S98" s="61"/>
      <c r="T98" s="61"/>
      <c r="U98" s="61"/>
    </row>
    <row r="99" spans="1:77" s="73" customFormat="1" ht="35.1" customHeight="1">
      <c r="A99" s="66" t="s">
        <v>41</v>
      </c>
      <c r="B99" s="67"/>
      <c r="C99" s="67"/>
      <c r="D99" s="68"/>
      <c r="E99" s="69"/>
      <c r="F99" s="69"/>
      <c r="G99" s="69">
        <f>SUM(G79:G98)</f>
        <v>0</v>
      </c>
      <c r="H99" s="70"/>
      <c r="I99" s="70"/>
      <c r="J99" s="70"/>
      <c r="K99" s="70"/>
      <c r="L99" s="70"/>
      <c r="M99" s="71"/>
      <c r="N99" s="60"/>
      <c r="O99" s="60" t="str">
        <f t="shared" si="5"/>
        <v/>
      </c>
      <c r="P99" s="61"/>
      <c r="Q99" s="61"/>
      <c r="R99" s="61"/>
      <c r="S99" s="61"/>
      <c r="T99" s="61"/>
      <c r="U99" s="61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</row>
    <row r="100" spans="1:77" s="62" customFormat="1" ht="35.1" customHeight="1">
      <c r="A100" s="58"/>
      <c r="B100" s="161"/>
      <c r="C100" s="82"/>
      <c r="D100" s="59"/>
      <c r="E100" s="59"/>
      <c r="F100" s="59"/>
      <c r="G100" s="59"/>
      <c r="H100" s="59"/>
      <c r="I100" s="59"/>
      <c r="J100" s="43"/>
      <c r="K100" s="43"/>
      <c r="L100" s="43"/>
      <c r="M100" s="16"/>
      <c r="N100" s="60"/>
      <c r="O100" s="60" t="str">
        <f t="shared" si="5"/>
        <v/>
      </c>
      <c r="P100" s="61" t="str">
        <f t="shared" ref="P100:P119" si="7">IF(E100&gt;=G100,"-","err")</f>
        <v>-</v>
      </c>
      <c r="Q100" s="61"/>
      <c r="R100" s="61"/>
      <c r="S100" s="61"/>
      <c r="T100" s="61"/>
      <c r="U100" s="61"/>
    </row>
    <row r="101" spans="1:77" s="62" customFormat="1" ht="35.1" customHeight="1">
      <c r="A101" s="92"/>
      <c r="B101" s="162"/>
      <c r="C101" s="96"/>
      <c r="D101" s="93"/>
      <c r="E101" s="93"/>
      <c r="F101" s="93"/>
      <c r="G101" s="93"/>
      <c r="H101" s="93"/>
      <c r="I101" s="93"/>
      <c r="J101" s="94"/>
      <c r="K101" s="94"/>
      <c r="L101" s="94"/>
      <c r="M101" s="95"/>
      <c r="N101" s="60"/>
      <c r="O101" s="60" t="str">
        <f t="shared" si="5"/>
        <v/>
      </c>
      <c r="P101" s="61" t="str">
        <f t="shared" si="7"/>
        <v>-</v>
      </c>
      <c r="Q101" s="61"/>
      <c r="R101" s="61"/>
      <c r="S101" s="61"/>
      <c r="T101" s="61"/>
      <c r="U101" s="61"/>
    </row>
    <row r="102" spans="1:77" s="62" customFormat="1" ht="35.1" customHeight="1">
      <c r="A102" s="63"/>
      <c r="B102" s="163"/>
      <c r="C102" s="83"/>
      <c r="D102" s="65"/>
      <c r="E102" s="65"/>
      <c r="F102" s="65"/>
      <c r="G102" s="65"/>
      <c r="H102" s="65"/>
      <c r="I102" s="65"/>
      <c r="J102" s="44"/>
      <c r="K102" s="44"/>
      <c r="L102" s="44"/>
      <c r="M102" s="17"/>
      <c r="N102" s="60"/>
      <c r="O102" s="60" t="str">
        <f t="shared" si="5"/>
        <v/>
      </c>
      <c r="P102" s="61" t="str">
        <f t="shared" si="7"/>
        <v>-</v>
      </c>
      <c r="Q102" s="61"/>
      <c r="R102" s="61"/>
      <c r="S102" s="61"/>
      <c r="T102" s="61"/>
      <c r="U102" s="61"/>
    </row>
    <row r="103" spans="1:77" s="62" customFormat="1" ht="35.1" customHeight="1">
      <c r="A103" s="63"/>
      <c r="B103" s="163"/>
      <c r="C103" s="84"/>
      <c r="D103" s="65"/>
      <c r="E103" s="65"/>
      <c r="F103" s="65"/>
      <c r="G103" s="65"/>
      <c r="H103" s="65"/>
      <c r="I103" s="65"/>
      <c r="J103" s="44"/>
      <c r="K103" s="44"/>
      <c r="L103" s="44"/>
      <c r="M103" s="17"/>
      <c r="N103" s="60"/>
      <c r="O103" s="60" t="str">
        <f t="shared" si="5"/>
        <v/>
      </c>
      <c r="P103" s="61" t="str">
        <f t="shared" si="7"/>
        <v>-</v>
      </c>
      <c r="Q103" s="61"/>
      <c r="R103" s="61"/>
      <c r="S103" s="61"/>
      <c r="T103" s="61"/>
      <c r="U103" s="61"/>
    </row>
    <row r="104" spans="1:77" s="62" customFormat="1" ht="35.1" customHeight="1">
      <c r="A104" s="63"/>
      <c r="B104" s="163"/>
      <c r="C104" s="89"/>
      <c r="D104" s="65"/>
      <c r="E104" s="65"/>
      <c r="F104" s="65"/>
      <c r="G104" s="65"/>
      <c r="H104" s="65"/>
      <c r="I104" s="65"/>
      <c r="J104" s="44"/>
      <c r="K104" s="44"/>
      <c r="L104" s="44"/>
      <c r="M104" s="17"/>
      <c r="N104" s="60"/>
      <c r="O104" s="60" t="str">
        <f t="shared" si="5"/>
        <v/>
      </c>
      <c r="P104" s="61" t="str">
        <f t="shared" si="7"/>
        <v>-</v>
      </c>
      <c r="Q104" s="61"/>
      <c r="R104" s="61"/>
      <c r="S104" s="61"/>
      <c r="T104" s="61"/>
      <c r="U104" s="61"/>
    </row>
    <row r="105" spans="1:77" s="62" customFormat="1" ht="35.1" customHeight="1">
      <c r="A105" s="63"/>
      <c r="B105" s="163"/>
      <c r="C105" s="89"/>
      <c r="D105" s="65"/>
      <c r="E105" s="65"/>
      <c r="F105" s="65"/>
      <c r="G105" s="65"/>
      <c r="H105" s="65"/>
      <c r="I105" s="65"/>
      <c r="J105" s="44"/>
      <c r="K105" s="44"/>
      <c r="L105" s="44"/>
      <c r="M105" s="17"/>
      <c r="N105" s="60"/>
      <c r="O105" s="60" t="str">
        <f t="shared" si="5"/>
        <v/>
      </c>
      <c r="P105" s="61" t="str">
        <f t="shared" si="7"/>
        <v>-</v>
      </c>
      <c r="Q105" s="61"/>
      <c r="R105" s="61"/>
      <c r="S105" s="61"/>
      <c r="T105" s="61"/>
      <c r="U105" s="61"/>
    </row>
    <row r="106" spans="1:77" s="62" customFormat="1" ht="35.1" customHeight="1">
      <c r="A106" s="63"/>
      <c r="B106" s="163"/>
      <c r="C106" s="89"/>
      <c r="D106" s="65"/>
      <c r="E106" s="65"/>
      <c r="F106" s="65"/>
      <c r="G106" s="65"/>
      <c r="H106" s="65"/>
      <c r="I106" s="65"/>
      <c r="J106" s="44"/>
      <c r="K106" s="44"/>
      <c r="L106" s="44"/>
      <c r="M106" s="17"/>
      <c r="N106" s="60"/>
      <c r="O106" s="60" t="str">
        <f t="shared" si="5"/>
        <v/>
      </c>
      <c r="P106" s="61" t="str">
        <f t="shared" si="7"/>
        <v>-</v>
      </c>
      <c r="Q106" s="61"/>
      <c r="R106" s="61"/>
      <c r="S106" s="61"/>
      <c r="T106" s="61"/>
      <c r="U106" s="61"/>
    </row>
    <row r="107" spans="1:77" s="62" customFormat="1" ht="35.1" customHeight="1">
      <c r="A107" s="63"/>
      <c r="B107" s="163"/>
      <c r="C107" s="89"/>
      <c r="D107" s="65"/>
      <c r="E107" s="65"/>
      <c r="F107" s="65"/>
      <c r="G107" s="65"/>
      <c r="H107" s="65"/>
      <c r="I107" s="65"/>
      <c r="J107" s="44"/>
      <c r="K107" s="44"/>
      <c r="L107" s="44"/>
      <c r="M107" s="17"/>
      <c r="N107" s="60"/>
      <c r="O107" s="60" t="str">
        <f t="shared" si="5"/>
        <v/>
      </c>
      <c r="P107" s="61" t="str">
        <f t="shared" si="7"/>
        <v>-</v>
      </c>
      <c r="Q107" s="61"/>
      <c r="R107" s="61"/>
      <c r="S107" s="61"/>
      <c r="T107" s="61"/>
      <c r="U107" s="61"/>
    </row>
    <row r="108" spans="1:77" s="62" customFormat="1" ht="35.1" customHeight="1">
      <c r="A108" s="63"/>
      <c r="B108" s="163"/>
      <c r="C108" s="89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60"/>
      <c r="O108" s="60" t="str">
        <f t="shared" si="5"/>
        <v/>
      </c>
      <c r="P108" s="61" t="str">
        <f t="shared" si="7"/>
        <v>-</v>
      </c>
      <c r="Q108" s="61"/>
      <c r="R108" s="61"/>
      <c r="S108" s="61"/>
      <c r="T108" s="61"/>
      <c r="U108" s="61"/>
    </row>
    <row r="109" spans="1:77" s="62" customFormat="1" ht="35.1" customHeight="1">
      <c r="A109" s="63"/>
      <c r="B109" s="163"/>
      <c r="C109" s="89"/>
      <c r="D109" s="65"/>
      <c r="E109" s="65"/>
      <c r="F109" s="65"/>
      <c r="G109" s="65"/>
      <c r="H109" s="65"/>
      <c r="I109" s="65"/>
      <c r="J109" s="44"/>
      <c r="K109" s="44"/>
      <c r="L109" s="44"/>
      <c r="M109" s="17"/>
      <c r="N109" s="60"/>
      <c r="O109" s="60" t="str">
        <f t="shared" si="5"/>
        <v/>
      </c>
      <c r="P109" s="61" t="str">
        <f t="shared" si="7"/>
        <v>-</v>
      </c>
      <c r="Q109" s="61"/>
      <c r="R109" s="61"/>
      <c r="S109" s="61"/>
      <c r="T109" s="61"/>
      <c r="U109" s="61"/>
    </row>
    <row r="110" spans="1:77" s="62" customFormat="1" ht="35.1" customHeight="1">
      <c r="A110" s="63"/>
      <c r="B110" s="163"/>
      <c r="C110" s="89"/>
      <c r="D110" s="65"/>
      <c r="E110" s="65"/>
      <c r="F110" s="65"/>
      <c r="G110" s="65"/>
      <c r="H110" s="65"/>
      <c r="I110" s="65"/>
      <c r="J110" s="44"/>
      <c r="K110" s="44"/>
      <c r="L110" s="44"/>
      <c r="M110" s="17"/>
      <c r="N110" s="60"/>
      <c r="O110" s="60" t="str">
        <f t="shared" si="5"/>
        <v/>
      </c>
      <c r="P110" s="61" t="str">
        <f t="shared" si="7"/>
        <v>-</v>
      </c>
      <c r="Q110" s="61"/>
      <c r="R110" s="61"/>
      <c r="S110" s="61"/>
      <c r="T110" s="61"/>
      <c r="U110" s="61"/>
    </row>
    <row r="111" spans="1:77" s="62" customFormat="1" ht="35.1" customHeight="1">
      <c r="A111" s="63"/>
      <c r="B111" s="163"/>
      <c r="C111" s="64"/>
      <c r="D111" s="65"/>
      <c r="E111" s="65"/>
      <c r="F111" s="65"/>
      <c r="G111" s="65"/>
      <c r="H111" s="65"/>
      <c r="I111" s="65"/>
      <c r="J111" s="44"/>
      <c r="K111" s="44"/>
      <c r="L111" s="44"/>
      <c r="M111" s="17"/>
      <c r="N111" s="60"/>
      <c r="O111" s="60" t="str">
        <f t="shared" si="5"/>
        <v/>
      </c>
      <c r="P111" s="61" t="str">
        <f t="shared" si="7"/>
        <v>-</v>
      </c>
      <c r="Q111" s="61"/>
      <c r="R111" s="61"/>
      <c r="S111" s="61"/>
      <c r="T111" s="61"/>
      <c r="U111" s="61"/>
    </row>
    <row r="112" spans="1:77" s="62" customFormat="1" ht="35.1" customHeight="1">
      <c r="A112" s="63"/>
      <c r="B112" s="163"/>
      <c r="C112" s="64"/>
      <c r="D112" s="65"/>
      <c r="E112" s="65"/>
      <c r="F112" s="65"/>
      <c r="G112" s="65"/>
      <c r="H112" s="65"/>
      <c r="I112" s="65"/>
      <c r="J112" s="44"/>
      <c r="K112" s="44"/>
      <c r="L112" s="44"/>
      <c r="M112" s="17"/>
      <c r="N112" s="60"/>
      <c r="O112" s="60" t="str">
        <f t="shared" si="5"/>
        <v/>
      </c>
      <c r="P112" s="61" t="str">
        <f t="shared" si="7"/>
        <v>-</v>
      </c>
      <c r="Q112" s="61"/>
      <c r="R112" s="61"/>
      <c r="S112" s="61"/>
      <c r="T112" s="61"/>
      <c r="U112" s="61"/>
    </row>
    <row r="113" spans="1:77" s="62" customFormat="1" ht="35.1" customHeight="1">
      <c r="A113" s="63"/>
      <c r="B113" s="163"/>
      <c r="C113" s="64"/>
      <c r="D113" s="65"/>
      <c r="E113" s="65"/>
      <c r="F113" s="65"/>
      <c r="G113" s="65"/>
      <c r="H113" s="65"/>
      <c r="I113" s="65"/>
      <c r="J113" s="44"/>
      <c r="K113" s="44"/>
      <c r="L113" s="44"/>
      <c r="M113" s="17"/>
      <c r="N113" s="60"/>
      <c r="O113" s="60" t="str">
        <f t="shared" si="5"/>
        <v/>
      </c>
      <c r="P113" s="61" t="str">
        <f t="shared" si="7"/>
        <v>-</v>
      </c>
      <c r="Q113" s="61"/>
      <c r="R113" s="61"/>
      <c r="S113" s="61"/>
      <c r="T113" s="61"/>
      <c r="U113" s="61"/>
    </row>
    <row r="114" spans="1:77" s="62" customFormat="1" ht="35.1" customHeight="1">
      <c r="A114" s="63"/>
      <c r="B114" s="163"/>
      <c r="C114" s="64"/>
      <c r="D114" s="65"/>
      <c r="E114" s="65"/>
      <c r="F114" s="65"/>
      <c r="G114" s="65"/>
      <c r="H114" s="65"/>
      <c r="I114" s="65"/>
      <c r="J114" s="44"/>
      <c r="K114" s="44"/>
      <c r="L114" s="44"/>
      <c r="M114" s="17"/>
      <c r="N114" s="60"/>
      <c r="O114" s="60" t="str">
        <f t="shared" si="5"/>
        <v/>
      </c>
      <c r="P114" s="61" t="str">
        <f t="shared" si="7"/>
        <v>-</v>
      </c>
      <c r="Q114" s="61"/>
      <c r="R114" s="61"/>
      <c r="S114" s="61"/>
      <c r="T114" s="61"/>
      <c r="U114" s="61"/>
    </row>
    <row r="115" spans="1:77" s="62" customFormat="1" ht="35.1" customHeight="1">
      <c r="A115" s="63"/>
      <c r="B115" s="163"/>
      <c r="C115" s="64"/>
      <c r="D115" s="65"/>
      <c r="E115" s="65"/>
      <c r="F115" s="65"/>
      <c r="G115" s="65"/>
      <c r="H115" s="65"/>
      <c r="I115" s="65"/>
      <c r="J115" s="44"/>
      <c r="K115" s="44"/>
      <c r="L115" s="44"/>
      <c r="M115" s="17"/>
      <c r="N115" s="60"/>
      <c r="O115" s="60" t="str">
        <f t="shared" si="5"/>
        <v/>
      </c>
      <c r="P115" s="61" t="str">
        <f t="shared" si="7"/>
        <v>-</v>
      </c>
      <c r="Q115" s="61"/>
      <c r="R115" s="61"/>
      <c r="S115" s="61"/>
      <c r="T115" s="61"/>
      <c r="U115" s="61"/>
    </row>
    <row r="116" spans="1:77" s="62" customFormat="1" ht="35.1" customHeight="1">
      <c r="A116" s="63"/>
      <c r="B116" s="163"/>
      <c r="C116" s="64"/>
      <c r="D116" s="65"/>
      <c r="E116" s="65"/>
      <c r="F116" s="65"/>
      <c r="G116" s="65"/>
      <c r="H116" s="65"/>
      <c r="I116" s="65"/>
      <c r="J116" s="44"/>
      <c r="K116" s="44"/>
      <c r="L116" s="44"/>
      <c r="M116" s="17"/>
      <c r="N116" s="60"/>
      <c r="O116" s="60" t="str">
        <f t="shared" si="5"/>
        <v/>
      </c>
      <c r="P116" s="61" t="str">
        <f t="shared" si="7"/>
        <v>-</v>
      </c>
      <c r="Q116" s="61"/>
      <c r="R116" s="61"/>
      <c r="S116" s="61"/>
      <c r="T116" s="61"/>
      <c r="U116" s="61"/>
    </row>
    <row r="117" spans="1:77" s="62" customFormat="1" ht="35.1" customHeight="1">
      <c r="A117" s="63"/>
      <c r="B117" s="163"/>
      <c r="C117" s="64"/>
      <c r="D117" s="65"/>
      <c r="E117" s="65"/>
      <c r="F117" s="65"/>
      <c r="G117" s="65"/>
      <c r="H117" s="65"/>
      <c r="I117" s="65"/>
      <c r="J117" s="44"/>
      <c r="K117" s="44"/>
      <c r="L117" s="44"/>
      <c r="M117" s="17"/>
      <c r="N117" s="60"/>
      <c r="O117" s="60" t="str">
        <f t="shared" si="5"/>
        <v/>
      </c>
      <c r="P117" s="61" t="str">
        <f t="shared" si="7"/>
        <v>-</v>
      </c>
      <c r="Q117" s="61"/>
      <c r="R117" s="61"/>
      <c r="S117" s="61"/>
      <c r="T117" s="61"/>
      <c r="U117" s="61"/>
    </row>
    <row r="118" spans="1:77" s="62" customFormat="1" ht="35.1" customHeight="1">
      <c r="A118" s="63"/>
      <c r="B118" s="163"/>
      <c r="C118" s="64"/>
      <c r="D118" s="65"/>
      <c r="E118" s="65"/>
      <c r="F118" s="65"/>
      <c r="G118" s="65"/>
      <c r="H118" s="65"/>
      <c r="I118" s="65"/>
      <c r="J118" s="44"/>
      <c r="K118" s="44"/>
      <c r="L118" s="44"/>
      <c r="M118" s="17"/>
      <c r="N118" s="60"/>
      <c r="O118" s="60" t="str">
        <f t="shared" si="5"/>
        <v/>
      </c>
      <c r="P118" s="61" t="str">
        <f t="shared" si="7"/>
        <v>-</v>
      </c>
      <c r="Q118" s="61"/>
      <c r="R118" s="61"/>
      <c r="S118" s="61"/>
      <c r="T118" s="61"/>
      <c r="U118" s="61"/>
    </row>
    <row r="119" spans="1:77" s="62" customFormat="1" ht="35.1" customHeight="1">
      <c r="A119" s="63"/>
      <c r="B119" s="163"/>
      <c r="C119" s="64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60"/>
      <c r="O119" s="60" t="str">
        <f t="shared" si="5"/>
        <v/>
      </c>
      <c r="P119" s="61" t="str">
        <f t="shared" si="7"/>
        <v>-</v>
      </c>
      <c r="Q119" s="61"/>
      <c r="R119" s="61"/>
      <c r="S119" s="61"/>
      <c r="T119" s="61"/>
      <c r="U119" s="61"/>
    </row>
    <row r="120" spans="1:77" s="73" customFormat="1" ht="35.1" customHeight="1">
      <c r="A120" s="66" t="s">
        <v>41</v>
      </c>
      <c r="B120" s="67"/>
      <c r="C120" s="67"/>
      <c r="D120" s="68"/>
      <c r="E120" s="69"/>
      <c r="F120" s="69"/>
      <c r="G120" s="69">
        <f>SUM(G100:G119)</f>
        <v>0</v>
      </c>
      <c r="H120" s="70"/>
      <c r="I120" s="70"/>
      <c r="J120" s="70"/>
      <c r="K120" s="70"/>
      <c r="L120" s="70"/>
      <c r="M120" s="71"/>
      <c r="N120" s="60"/>
      <c r="O120" s="60" t="str">
        <f t="shared" si="5"/>
        <v/>
      </c>
      <c r="P120" s="61"/>
      <c r="Q120" s="61"/>
      <c r="R120" s="61"/>
      <c r="S120" s="61"/>
      <c r="T120" s="61"/>
      <c r="U120" s="61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</row>
    <row r="121" spans="1:77" s="62" customFormat="1" ht="35.1" customHeight="1">
      <c r="A121" s="58"/>
      <c r="B121" s="161"/>
      <c r="C121" s="82"/>
      <c r="D121" s="59"/>
      <c r="E121" s="59"/>
      <c r="F121" s="59"/>
      <c r="G121" s="59"/>
      <c r="H121" s="59"/>
      <c r="I121" s="59"/>
      <c r="J121" s="43"/>
      <c r="K121" s="43"/>
      <c r="L121" s="43"/>
      <c r="M121" s="16"/>
      <c r="N121" s="60"/>
      <c r="O121" s="60" t="str">
        <f t="shared" si="5"/>
        <v/>
      </c>
      <c r="P121" s="61" t="str">
        <f t="shared" ref="P121:P140" si="8">IF(E121&gt;=G121,"-","err")</f>
        <v>-</v>
      </c>
      <c r="Q121" s="61"/>
      <c r="R121" s="61"/>
      <c r="S121" s="61"/>
      <c r="T121" s="61"/>
      <c r="U121" s="61"/>
    </row>
    <row r="122" spans="1:77" s="62" customFormat="1" ht="35.1" customHeight="1">
      <c r="A122" s="92"/>
      <c r="B122" s="162"/>
      <c r="C122" s="96"/>
      <c r="D122" s="93"/>
      <c r="E122" s="93"/>
      <c r="F122" s="93"/>
      <c r="G122" s="93"/>
      <c r="H122" s="93"/>
      <c r="I122" s="93"/>
      <c r="J122" s="94"/>
      <c r="K122" s="94"/>
      <c r="L122" s="94"/>
      <c r="M122" s="95"/>
      <c r="N122" s="60"/>
      <c r="O122" s="60" t="str">
        <f t="shared" si="5"/>
        <v/>
      </c>
      <c r="P122" s="61" t="str">
        <f t="shared" si="8"/>
        <v>-</v>
      </c>
      <c r="Q122" s="61"/>
      <c r="R122" s="61"/>
      <c r="S122" s="61"/>
      <c r="T122" s="61"/>
      <c r="U122" s="61"/>
    </row>
    <row r="123" spans="1:77" s="62" customFormat="1" ht="35.1" customHeight="1">
      <c r="A123" s="63"/>
      <c r="B123" s="163"/>
      <c r="C123" s="83"/>
      <c r="D123" s="65"/>
      <c r="E123" s="65"/>
      <c r="F123" s="65"/>
      <c r="G123" s="65"/>
      <c r="H123" s="65"/>
      <c r="I123" s="65"/>
      <c r="J123" s="44"/>
      <c r="K123" s="44">
        <v>0</v>
      </c>
      <c r="L123" s="44">
        <v>0</v>
      </c>
      <c r="M123" s="17"/>
      <c r="N123" s="60"/>
      <c r="O123" s="60" t="str">
        <f t="shared" si="5"/>
        <v/>
      </c>
      <c r="P123" s="61" t="str">
        <f t="shared" si="8"/>
        <v>-</v>
      </c>
      <c r="Q123" s="61"/>
      <c r="R123" s="61"/>
      <c r="S123" s="61"/>
      <c r="T123" s="61"/>
      <c r="U123" s="61"/>
    </row>
    <row r="124" spans="1:77" s="62" customFormat="1" ht="35.1" customHeight="1">
      <c r="A124" s="63"/>
      <c r="B124" s="163"/>
      <c r="C124" s="84"/>
      <c r="D124" s="65"/>
      <c r="E124" s="65"/>
      <c r="F124" s="65"/>
      <c r="G124" s="65"/>
      <c r="H124" s="65"/>
      <c r="I124" s="65"/>
      <c r="J124" s="44"/>
      <c r="K124" s="44">
        <v>0</v>
      </c>
      <c r="L124" s="44">
        <v>0</v>
      </c>
      <c r="M124" s="17"/>
      <c r="N124" s="60"/>
      <c r="O124" s="60" t="str">
        <f t="shared" si="5"/>
        <v/>
      </c>
      <c r="P124" s="61" t="str">
        <f t="shared" si="8"/>
        <v>-</v>
      </c>
      <c r="Q124" s="61"/>
      <c r="R124" s="61"/>
      <c r="S124" s="61"/>
      <c r="T124" s="61"/>
      <c r="U124" s="61"/>
    </row>
    <row r="125" spans="1:77" s="62" customFormat="1" ht="35.1" customHeight="1">
      <c r="A125" s="63"/>
      <c r="B125" s="163"/>
      <c r="C125" s="89"/>
      <c r="D125" s="65"/>
      <c r="E125" s="65"/>
      <c r="F125" s="65"/>
      <c r="G125" s="65"/>
      <c r="H125" s="65"/>
      <c r="I125" s="65"/>
      <c r="J125" s="44"/>
      <c r="K125" s="44">
        <v>0</v>
      </c>
      <c r="L125" s="44">
        <v>0</v>
      </c>
      <c r="M125" s="17"/>
      <c r="N125" s="60"/>
      <c r="O125" s="60" t="str">
        <f t="shared" si="5"/>
        <v/>
      </c>
      <c r="P125" s="61" t="str">
        <f t="shared" si="8"/>
        <v>-</v>
      </c>
      <c r="Q125" s="61"/>
      <c r="R125" s="61"/>
      <c r="S125" s="61"/>
      <c r="T125" s="61"/>
      <c r="U125" s="61"/>
    </row>
    <row r="126" spans="1:77" s="62" customFormat="1" ht="35.1" customHeight="1">
      <c r="A126" s="63"/>
      <c r="B126" s="163"/>
      <c r="C126" s="89"/>
      <c r="D126" s="65"/>
      <c r="E126" s="65"/>
      <c r="F126" s="65"/>
      <c r="G126" s="65"/>
      <c r="H126" s="65"/>
      <c r="I126" s="65"/>
      <c r="J126" s="44"/>
      <c r="K126" s="44">
        <v>0</v>
      </c>
      <c r="L126" s="44">
        <v>0</v>
      </c>
      <c r="M126" s="17"/>
      <c r="N126" s="60"/>
      <c r="O126" s="60" t="str">
        <f t="shared" si="5"/>
        <v/>
      </c>
      <c r="P126" s="61" t="str">
        <f t="shared" si="8"/>
        <v>-</v>
      </c>
      <c r="Q126" s="61"/>
      <c r="R126" s="61"/>
      <c r="S126" s="61"/>
      <c r="T126" s="61"/>
      <c r="U126" s="61"/>
    </row>
    <row r="127" spans="1:77" s="62" customFormat="1" ht="35.1" customHeight="1">
      <c r="A127" s="63"/>
      <c r="B127" s="163"/>
      <c r="C127" s="89"/>
      <c r="D127" s="65"/>
      <c r="E127" s="65"/>
      <c r="F127" s="65"/>
      <c r="G127" s="65"/>
      <c r="H127" s="65"/>
      <c r="I127" s="65"/>
      <c r="J127" s="44"/>
      <c r="K127" s="44">
        <v>0</v>
      </c>
      <c r="L127" s="44">
        <v>0</v>
      </c>
      <c r="M127" s="17"/>
      <c r="N127" s="60"/>
      <c r="O127" s="60" t="str">
        <f t="shared" si="5"/>
        <v/>
      </c>
      <c r="P127" s="61" t="str">
        <f t="shared" si="8"/>
        <v>-</v>
      </c>
      <c r="Q127" s="61"/>
      <c r="R127" s="61"/>
      <c r="S127" s="61"/>
      <c r="T127" s="61"/>
      <c r="U127" s="61"/>
    </row>
    <row r="128" spans="1:77" s="62" customFormat="1" ht="35.1" customHeight="1">
      <c r="A128" s="63"/>
      <c r="B128" s="163"/>
      <c r="C128" s="89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60"/>
      <c r="O128" s="60" t="str">
        <f t="shared" si="5"/>
        <v/>
      </c>
      <c r="P128" s="61" t="str">
        <f t="shared" si="8"/>
        <v>-</v>
      </c>
      <c r="Q128" s="61"/>
      <c r="R128" s="61"/>
      <c r="S128" s="61"/>
      <c r="T128" s="61"/>
      <c r="U128" s="61"/>
    </row>
    <row r="129" spans="1:77" s="62" customFormat="1" ht="35.1" customHeight="1">
      <c r="A129" s="63"/>
      <c r="B129" s="163"/>
      <c r="C129" s="89"/>
      <c r="D129" s="65"/>
      <c r="E129" s="65"/>
      <c r="F129" s="65"/>
      <c r="G129" s="65"/>
      <c r="H129" s="65"/>
      <c r="I129" s="65"/>
      <c r="J129" s="44"/>
      <c r="K129" s="44">
        <v>0</v>
      </c>
      <c r="L129" s="44">
        <v>0</v>
      </c>
      <c r="M129" s="17"/>
      <c r="N129" s="60"/>
      <c r="O129" s="60" t="str">
        <f t="shared" si="5"/>
        <v/>
      </c>
      <c r="P129" s="61" t="str">
        <f t="shared" si="8"/>
        <v>-</v>
      </c>
      <c r="Q129" s="61"/>
      <c r="R129" s="61"/>
      <c r="S129" s="61"/>
      <c r="T129" s="61"/>
      <c r="U129" s="61"/>
    </row>
    <row r="130" spans="1:77" s="62" customFormat="1" ht="35.1" customHeight="1">
      <c r="A130" s="63"/>
      <c r="B130" s="163"/>
      <c r="C130" s="89"/>
      <c r="D130" s="65"/>
      <c r="E130" s="65"/>
      <c r="F130" s="65"/>
      <c r="G130" s="65"/>
      <c r="H130" s="65"/>
      <c r="I130" s="65"/>
      <c r="J130" s="44"/>
      <c r="K130" s="44">
        <v>0</v>
      </c>
      <c r="L130" s="44">
        <v>0</v>
      </c>
      <c r="M130" s="17"/>
      <c r="N130" s="60"/>
      <c r="O130" s="60" t="str">
        <f t="shared" si="5"/>
        <v/>
      </c>
      <c r="P130" s="61" t="str">
        <f t="shared" si="8"/>
        <v>-</v>
      </c>
      <c r="Q130" s="61"/>
      <c r="R130" s="61"/>
      <c r="S130" s="61"/>
      <c r="T130" s="61"/>
      <c r="U130" s="61"/>
    </row>
    <row r="131" spans="1:77" s="62" customFormat="1" ht="35.1" customHeight="1">
      <c r="A131" s="63"/>
      <c r="B131" s="163"/>
      <c r="C131" s="89"/>
      <c r="D131" s="65"/>
      <c r="E131" s="65"/>
      <c r="F131" s="65"/>
      <c r="G131" s="65"/>
      <c r="H131" s="65"/>
      <c r="I131" s="65"/>
      <c r="J131" s="44"/>
      <c r="K131" s="44">
        <v>0</v>
      </c>
      <c r="L131" s="44">
        <v>0</v>
      </c>
      <c r="M131" s="17"/>
      <c r="N131" s="60"/>
      <c r="O131" s="60" t="str">
        <f t="shared" si="5"/>
        <v/>
      </c>
      <c r="P131" s="61" t="str">
        <f t="shared" si="8"/>
        <v>-</v>
      </c>
      <c r="Q131" s="61"/>
      <c r="R131" s="61"/>
      <c r="S131" s="61"/>
      <c r="T131" s="61"/>
      <c r="U131" s="61"/>
    </row>
    <row r="132" spans="1:77" s="62" customFormat="1" ht="35.1" customHeight="1">
      <c r="A132" s="63"/>
      <c r="B132" s="163"/>
      <c r="C132" s="64"/>
      <c r="D132" s="65"/>
      <c r="E132" s="65"/>
      <c r="F132" s="65"/>
      <c r="G132" s="65"/>
      <c r="H132" s="65"/>
      <c r="I132" s="65"/>
      <c r="J132" s="44"/>
      <c r="K132" s="44"/>
      <c r="L132" s="44"/>
      <c r="M132" s="17"/>
      <c r="N132" s="60"/>
      <c r="O132" s="60" t="str">
        <f t="shared" si="5"/>
        <v/>
      </c>
      <c r="P132" s="61" t="str">
        <f t="shared" si="8"/>
        <v>-</v>
      </c>
      <c r="Q132" s="61"/>
      <c r="R132" s="61"/>
      <c r="S132" s="61"/>
      <c r="T132" s="61"/>
      <c r="U132" s="61"/>
    </row>
    <row r="133" spans="1:77" s="62" customFormat="1" ht="35.1" customHeight="1">
      <c r="A133" s="63"/>
      <c r="B133" s="163"/>
      <c r="C133" s="64"/>
      <c r="D133" s="65"/>
      <c r="E133" s="65"/>
      <c r="F133" s="65"/>
      <c r="G133" s="65"/>
      <c r="H133" s="65"/>
      <c r="I133" s="65"/>
      <c r="J133" s="44"/>
      <c r="K133" s="44"/>
      <c r="L133" s="44"/>
      <c r="M133" s="17"/>
      <c r="N133" s="60"/>
      <c r="O133" s="60" t="str">
        <f t="shared" si="5"/>
        <v/>
      </c>
      <c r="P133" s="61" t="str">
        <f t="shared" si="8"/>
        <v>-</v>
      </c>
      <c r="Q133" s="61"/>
      <c r="R133" s="61"/>
      <c r="S133" s="61"/>
      <c r="T133" s="61"/>
      <c r="U133" s="61"/>
    </row>
    <row r="134" spans="1:77" s="62" customFormat="1" ht="35.1" customHeight="1">
      <c r="A134" s="63"/>
      <c r="B134" s="163"/>
      <c r="C134" s="64"/>
      <c r="D134" s="65"/>
      <c r="E134" s="65"/>
      <c r="F134" s="65"/>
      <c r="G134" s="65"/>
      <c r="H134" s="65"/>
      <c r="I134" s="65"/>
      <c r="J134" s="44"/>
      <c r="K134" s="44"/>
      <c r="L134" s="44"/>
      <c r="M134" s="17"/>
      <c r="N134" s="60"/>
      <c r="O134" s="60" t="str">
        <f t="shared" si="5"/>
        <v/>
      </c>
      <c r="P134" s="61" t="str">
        <f t="shared" si="8"/>
        <v>-</v>
      </c>
      <c r="Q134" s="61"/>
      <c r="R134" s="61"/>
      <c r="S134" s="61"/>
      <c r="T134" s="61"/>
      <c r="U134" s="61"/>
    </row>
    <row r="135" spans="1:77" s="62" customFormat="1" ht="35.1" customHeight="1">
      <c r="A135" s="63"/>
      <c r="B135" s="163"/>
      <c r="C135" s="64"/>
      <c r="D135" s="65"/>
      <c r="E135" s="65"/>
      <c r="F135" s="65"/>
      <c r="G135" s="65"/>
      <c r="H135" s="65"/>
      <c r="I135" s="65"/>
      <c r="J135" s="44"/>
      <c r="K135" s="44"/>
      <c r="L135" s="44"/>
      <c r="M135" s="17"/>
      <c r="N135" s="60"/>
      <c r="O135" s="60" t="str">
        <f t="shared" si="5"/>
        <v/>
      </c>
      <c r="P135" s="61" t="str">
        <f t="shared" si="8"/>
        <v>-</v>
      </c>
      <c r="Q135" s="61"/>
      <c r="R135" s="61"/>
      <c r="S135" s="61"/>
      <c r="T135" s="61"/>
      <c r="U135" s="61"/>
    </row>
    <row r="136" spans="1:77" s="62" customFormat="1" ht="35.1" customHeight="1">
      <c r="A136" s="63"/>
      <c r="B136" s="163"/>
      <c r="C136" s="64"/>
      <c r="D136" s="65"/>
      <c r="E136" s="65"/>
      <c r="F136" s="65"/>
      <c r="G136" s="65"/>
      <c r="H136" s="65"/>
      <c r="I136" s="65"/>
      <c r="J136" s="44"/>
      <c r="K136" s="44"/>
      <c r="L136" s="44"/>
      <c r="M136" s="17"/>
      <c r="N136" s="60"/>
      <c r="O136" s="60" t="str">
        <f t="shared" si="5"/>
        <v/>
      </c>
      <c r="P136" s="61" t="str">
        <f t="shared" si="8"/>
        <v>-</v>
      </c>
      <c r="Q136" s="61"/>
      <c r="R136" s="61"/>
      <c r="S136" s="61"/>
      <c r="T136" s="61"/>
      <c r="U136" s="61"/>
    </row>
    <row r="137" spans="1:77" s="62" customFormat="1" ht="35.1" customHeight="1">
      <c r="A137" s="63"/>
      <c r="B137" s="163"/>
      <c r="C137" s="64"/>
      <c r="D137" s="65"/>
      <c r="E137" s="65"/>
      <c r="F137" s="65"/>
      <c r="G137" s="65"/>
      <c r="H137" s="65"/>
      <c r="I137" s="65"/>
      <c r="J137" s="44"/>
      <c r="K137" s="44"/>
      <c r="L137" s="44"/>
      <c r="M137" s="17"/>
      <c r="N137" s="60"/>
      <c r="O137" s="60" t="str">
        <f t="shared" si="5"/>
        <v/>
      </c>
      <c r="P137" s="61" t="str">
        <f t="shared" si="8"/>
        <v>-</v>
      </c>
      <c r="Q137" s="61"/>
      <c r="R137" s="61"/>
      <c r="S137" s="61"/>
      <c r="T137" s="61"/>
      <c r="U137" s="61"/>
    </row>
    <row r="138" spans="1:77" s="62" customFormat="1" ht="35.1" customHeight="1">
      <c r="A138" s="63"/>
      <c r="B138" s="163"/>
      <c r="C138" s="64"/>
      <c r="D138" s="65"/>
      <c r="E138" s="65"/>
      <c r="F138" s="65"/>
      <c r="G138" s="65"/>
      <c r="H138" s="65"/>
      <c r="I138" s="65"/>
      <c r="J138" s="44"/>
      <c r="K138" s="44"/>
      <c r="L138" s="44"/>
      <c r="M138" s="17"/>
      <c r="N138" s="60"/>
      <c r="O138" s="60" t="str">
        <f t="shared" si="5"/>
        <v/>
      </c>
      <c r="P138" s="61" t="str">
        <f t="shared" si="8"/>
        <v>-</v>
      </c>
      <c r="Q138" s="61"/>
      <c r="R138" s="61"/>
      <c r="S138" s="61"/>
      <c r="T138" s="61"/>
      <c r="U138" s="61"/>
    </row>
    <row r="139" spans="1:77" s="62" customFormat="1" ht="35.1" customHeight="1">
      <c r="A139" s="63"/>
      <c r="B139" s="163"/>
      <c r="C139" s="64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60"/>
      <c r="O139" s="60" t="str">
        <f t="shared" si="5"/>
        <v/>
      </c>
      <c r="P139" s="61" t="str">
        <f t="shared" si="8"/>
        <v>-</v>
      </c>
      <c r="Q139" s="61"/>
      <c r="R139" s="61"/>
      <c r="S139" s="61"/>
      <c r="T139" s="61"/>
      <c r="U139" s="61"/>
    </row>
    <row r="140" spans="1:77" s="62" customFormat="1" ht="35.1" customHeight="1">
      <c r="A140" s="63"/>
      <c r="B140" s="163"/>
      <c r="C140" s="64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60"/>
      <c r="O140" s="60" t="str">
        <f t="shared" si="5"/>
        <v/>
      </c>
      <c r="P140" s="61" t="str">
        <f t="shared" si="8"/>
        <v>-</v>
      </c>
      <c r="Q140" s="61"/>
      <c r="R140" s="61"/>
      <c r="S140" s="61"/>
      <c r="T140" s="61"/>
      <c r="U140" s="61"/>
    </row>
    <row r="141" spans="1:77" s="73" customFormat="1" ht="35.1" customHeight="1">
      <c r="A141" s="66" t="s">
        <v>41</v>
      </c>
      <c r="B141" s="67"/>
      <c r="C141" s="67"/>
      <c r="D141" s="68"/>
      <c r="E141" s="69"/>
      <c r="F141" s="69"/>
      <c r="G141" s="69">
        <f>SUM(G121:G140)</f>
        <v>0</v>
      </c>
      <c r="H141" s="70"/>
      <c r="I141" s="70"/>
      <c r="J141" s="70"/>
      <c r="K141" s="70"/>
      <c r="L141" s="70"/>
      <c r="M141" s="71"/>
      <c r="N141" s="60"/>
      <c r="O141" s="60" t="str">
        <f t="shared" si="5"/>
        <v/>
      </c>
      <c r="P141" s="61"/>
      <c r="Q141" s="61"/>
      <c r="R141" s="61"/>
      <c r="S141" s="61"/>
      <c r="T141" s="61"/>
      <c r="U141" s="61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</row>
    <row r="142" spans="1:77" s="62" customFormat="1" ht="35.1" customHeight="1">
      <c r="A142" s="58"/>
      <c r="B142" s="161"/>
      <c r="C142" s="82"/>
      <c r="D142" s="59"/>
      <c r="E142" s="59"/>
      <c r="F142" s="59"/>
      <c r="G142" s="59"/>
      <c r="H142" s="59"/>
      <c r="I142" s="59"/>
      <c r="J142" s="43"/>
      <c r="K142" s="43"/>
      <c r="L142" s="43"/>
      <c r="M142" s="16"/>
      <c r="N142" s="60"/>
      <c r="O142" s="60" t="str">
        <f t="shared" si="5"/>
        <v/>
      </c>
      <c r="P142" s="61" t="str">
        <f t="shared" ref="P142:P161" si="9">IF(E142&gt;=G142,"-","err")</f>
        <v>-</v>
      </c>
      <c r="Q142" s="61"/>
      <c r="R142" s="61"/>
      <c r="S142" s="61"/>
      <c r="T142" s="61"/>
      <c r="U142" s="61"/>
    </row>
    <row r="143" spans="1:77" s="62" customFormat="1" ht="35.1" customHeight="1">
      <c r="A143" s="92"/>
      <c r="B143" s="162"/>
      <c r="C143" s="96"/>
      <c r="D143" s="93"/>
      <c r="E143" s="93"/>
      <c r="F143" s="93"/>
      <c r="G143" s="93"/>
      <c r="H143" s="93"/>
      <c r="I143" s="93"/>
      <c r="J143" s="94"/>
      <c r="K143" s="94"/>
      <c r="L143" s="94"/>
      <c r="M143" s="95"/>
      <c r="N143" s="60"/>
      <c r="O143" s="60" t="str">
        <f t="shared" si="5"/>
        <v/>
      </c>
      <c r="P143" s="61" t="str">
        <f t="shared" si="9"/>
        <v>-</v>
      </c>
      <c r="Q143" s="61"/>
      <c r="R143" s="61"/>
      <c r="S143" s="61"/>
      <c r="T143" s="61"/>
      <c r="U143" s="61"/>
    </row>
    <row r="144" spans="1:77" s="62" customFormat="1" ht="35.1" customHeight="1">
      <c r="A144" s="63"/>
      <c r="B144" s="163"/>
      <c r="C144" s="83"/>
      <c r="D144" s="65"/>
      <c r="E144" s="65"/>
      <c r="F144" s="65"/>
      <c r="G144" s="65"/>
      <c r="H144" s="65"/>
      <c r="I144" s="65"/>
      <c r="J144" s="44">
        <v>0</v>
      </c>
      <c r="K144" s="44">
        <v>0</v>
      </c>
      <c r="L144" s="44">
        <v>0</v>
      </c>
      <c r="M144" s="17"/>
      <c r="N144" s="60"/>
      <c r="O144" s="60" t="str">
        <f t="shared" si="5"/>
        <v/>
      </c>
      <c r="P144" s="61" t="str">
        <f t="shared" si="9"/>
        <v>-</v>
      </c>
      <c r="Q144" s="61"/>
      <c r="R144" s="61"/>
      <c r="S144" s="61"/>
      <c r="T144" s="61"/>
      <c r="U144" s="61"/>
    </row>
    <row r="145" spans="1:21" s="62" customFormat="1" ht="35.1" customHeight="1">
      <c r="A145" s="63"/>
      <c r="B145" s="163"/>
      <c r="C145" s="84"/>
      <c r="D145" s="65"/>
      <c r="E145" s="65"/>
      <c r="F145" s="65"/>
      <c r="G145" s="65"/>
      <c r="H145" s="65"/>
      <c r="I145" s="65"/>
      <c r="J145" s="44">
        <v>0</v>
      </c>
      <c r="K145" s="44">
        <v>0</v>
      </c>
      <c r="L145" s="44">
        <v>0</v>
      </c>
      <c r="M145" s="17"/>
      <c r="N145" s="60"/>
      <c r="O145" s="60" t="str">
        <f t="shared" si="5"/>
        <v/>
      </c>
      <c r="P145" s="61" t="str">
        <f t="shared" si="9"/>
        <v>-</v>
      </c>
      <c r="Q145" s="61"/>
      <c r="R145" s="61"/>
      <c r="S145" s="61"/>
      <c r="T145" s="61"/>
      <c r="U145" s="61"/>
    </row>
    <row r="146" spans="1:21" s="62" customFormat="1" ht="35.1" customHeight="1">
      <c r="A146" s="63"/>
      <c r="B146" s="163"/>
      <c r="C146" s="89"/>
      <c r="D146" s="65"/>
      <c r="E146" s="65"/>
      <c r="F146" s="65"/>
      <c r="G146" s="65"/>
      <c r="H146" s="65"/>
      <c r="I146" s="65"/>
      <c r="J146" s="44">
        <v>0</v>
      </c>
      <c r="K146" s="44">
        <v>0</v>
      </c>
      <c r="L146" s="44">
        <v>0</v>
      </c>
      <c r="M146" s="17"/>
      <c r="N146" s="60"/>
      <c r="O146" s="60" t="str">
        <f t="shared" si="5"/>
        <v/>
      </c>
      <c r="P146" s="61" t="str">
        <f t="shared" si="9"/>
        <v>-</v>
      </c>
      <c r="Q146" s="61"/>
      <c r="R146" s="61"/>
      <c r="S146" s="61"/>
      <c r="T146" s="61"/>
      <c r="U146" s="61"/>
    </row>
    <row r="147" spans="1:21" s="62" customFormat="1" ht="35.1" customHeight="1">
      <c r="A147" s="63"/>
      <c r="B147" s="163"/>
      <c r="C147" s="89"/>
      <c r="D147" s="65"/>
      <c r="E147" s="65"/>
      <c r="F147" s="65"/>
      <c r="G147" s="65"/>
      <c r="H147" s="65"/>
      <c r="I147" s="65"/>
      <c r="J147" s="44">
        <v>0</v>
      </c>
      <c r="K147" s="44">
        <v>0</v>
      </c>
      <c r="L147" s="44">
        <v>0</v>
      </c>
      <c r="M147" s="17"/>
      <c r="N147" s="60"/>
      <c r="O147" s="60" t="str">
        <f t="shared" si="5"/>
        <v/>
      </c>
      <c r="P147" s="61" t="str">
        <f t="shared" si="9"/>
        <v>-</v>
      </c>
      <c r="Q147" s="61"/>
      <c r="R147" s="61"/>
      <c r="S147" s="61"/>
      <c r="T147" s="61"/>
      <c r="U147" s="61"/>
    </row>
    <row r="148" spans="1:21" s="62" customFormat="1" ht="35.1" customHeight="1">
      <c r="A148" s="63"/>
      <c r="B148" s="163"/>
      <c r="C148" s="89"/>
      <c r="D148" s="65"/>
      <c r="E148" s="65"/>
      <c r="F148" s="65"/>
      <c r="G148" s="65"/>
      <c r="H148" s="65"/>
      <c r="I148" s="65"/>
      <c r="J148" s="44"/>
      <c r="K148" s="44"/>
      <c r="L148" s="44"/>
      <c r="M148" s="17"/>
      <c r="N148" s="60"/>
      <c r="O148" s="60" t="str">
        <f t="shared" ref="O148:O211" si="10">CONCATENATE(D148,H148)</f>
        <v/>
      </c>
      <c r="P148" s="61" t="str">
        <f t="shared" si="9"/>
        <v>-</v>
      </c>
      <c r="Q148" s="61"/>
      <c r="R148" s="61"/>
      <c r="S148" s="61"/>
      <c r="T148" s="61"/>
      <c r="U148" s="61"/>
    </row>
    <row r="149" spans="1:21" s="62" customFormat="1" ht="35.1" customHeight="1">
      <c r="A149" s="63"/>
      <c r="B149" s="163"/>
      <c r="C149" s="89"/>
      <c r="D149" s="65"/>
      <c r="E149" s="65"/>
      <c r="F149" s="65"/>
      <c r="G149" s="65"/>
      <c r="H149" s="65"/>
      <c r="I149" s="65"/>
      <c r="J149" s="44"/>
      <c r="K149" s="44"/>
      <c r="L149" s="44"/>
      <c r="M149" s="17"/>
      <c r="N149" s="60"/>
      <c r="O149" s="60" t="str">
        <f t="shared" si="10"/>
        <v/>
      </c>
      <c r="P149" s="61" t="str">
        <f t="shared" si="9"/>
        <v>-</v>
      </c>
      <c r="Q149" s="61"/>
      <c r="R149" s="61"/>
      <c r="S149" s="61"/>
      <c r="T149" s="61"/>
      <c r="U149" s="61"/>
    </row>
    <row r="150" spans="1:21" s="62" customFormat="1" ht="35.1" customHeight="1">
      <c r="A150" s="63"/>
      <c r="B150" s="163"/>
      <c r="C150" s="89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60"/>
      <c r="O150" s="60" t="str">
        <f t="shared" si="10"/>
        <v/>
      </c>
      <c r="P150" s="61" t="str">
        <f t="shared" si="9"/>
        <v>-</v>
      </c>
      <c r="Q150" s="61"/>
      <c r="R150" s="61"/>
      <c r="S150" s="61"/>
      <c r="T150" s="61"/>
      <c r="U150" s="61"/>
    </row>
    <row r="151" spans="1:21" s="62" customFormat="1" ht="35.1" customHeight="1">
      <c r="A151" s="63"/>
      <c r="B151" s="163"/>
      <c r="C151" s="89"/>
      <c r="D151" s="65"/>
      <c r="E151" s="65"/>
      <c r="F151" s="65"/>
      <c r="G151" s="65"/>
      <c r="H151" s="65"/>
      <c r="I151" s="65"/>
      <c r="J151" s="44">
        <v>0</v>
      </c>
      <c r="K151" s="44">
        <v>0</v>
      </c>
      <c r="L151" s="44">
        <v>0</v>
      </c>
      <c r="M151" s="17"/>
      <c r="N151" s="60"/>
      <c r="O151" s="60" t="str">
        <f t="shared" si="10"/>
        <v/>
      </c>
      <c r="P151" s="61" t="str">
        <f t="shared" si="9"/>
        <v>-</v>
      </c>
      <c r="Q151" s="61"/>
      <c r="R151" s="61"/>
      <c r="S151" s="61"/>
      <c r="T151" s="61"/>
      <c r="U151" s="61"/>
    </row>
    <row r="152" spans="1:21" s="62" customFormat="1" ht="35.1" customHeight="1">
      <c r="A152" s="63"/>
      <c r="B152" s="163"/>
      <c r="C152" s="89"/>
      <c r="D152" s="65"/>
      <c r="E152" s="65"/>
      <c r="F152" s="65"/>
      <c r="G152" s="65"/>
      <c r="H152" s="65"/>
      <c r="I152" s="65"/>
      <c r="J152" s="44">
        <v>0</v>
      </c>
      <c r="K152" s="44">
        <v>0</v>
      </c>
      <c r="L152" s="44">
        <v>0</v>
      </c>
      <c r="M152" s="17"/>
      <c r="N152" s="60"/>
      <c r="O152" s="60" t="str">
        <f t="shared" si="10"/>
        <v/>
      </c>
      <c r="P152" s="61" t="str">
        <f t="shared" si="9"/>
        <v>-</v>
      </c>
      <c r="Q152" s="61"/>
      <c r="R152" s="61"/>
      <c r="S152" s="61"/>
      <c r="T152" s="61"/>
      <c r="U152" s="61"/>
    </row>
    <row r="153" spans="1:21" s="62" customFormat="1" ht="35.1" customHeight="1">
      <c r="A153" s="63"/>
      <c r="B153" s="163"/>
      <c r="C153" s="64"/>
      <c r="D153" s="65"/>
      <c r="E153" s="65"/>
      <c r="F153" s="65"/>
      <c r="G153" s="65"/>
      <c r="H153" s="65"/>
      <c r="I153" s="65"/>
      <c r="J153" s="44"/>
      <c r="K153" s="44"/>
      <c r="L153" s="44"/>
      <c r="M153" s="17"/>
      <c r="N153" s="60"/>
      <c r="O153" s="60" t="str">
        <f t="shared" si="10"/>
        <v/>
      </c>
      <c r="P153" s="61" t="str">
        <f t="shared" si="9"/>
        <v>-</v>
      </c>
      <c r="Q153" s="61"/>
      <c r="R153" s="61"/>
      <c r="S153" s="61"/>
      <c r="T153" s="61"/>
      <c r="U153" s="61"/>
    </row>
    <row r="154" spans="1:21" s="62" customFormat="1" ht="35.1" customHeight="1">
      <c r="A154" s="63"/>
      <c r="B154" s="163"/>
      <c r="C154" s="64"/>
      <c r="D154" s="65"/>
      <c r="E154" s="65"/>
      <c r="F154" s="65"/>
      <c r="G154" s="65"/>
      <c r="H154" s="65"/>
      <c r="I154" s="65"/>
      <c r="J154" s="44"/>
      <c r="K154" s="44"/>
      <c r="L154" s="44"/>
      <c r="M154" s="17"/>
      <c r="N154" s="60"/>
      <c r="O154" s="60" t="str">
        <f t="shared" si="10"/>
        <v/>
      </c>
      <c r="P154" s="61" t="str">
        <f t="shared" si="9"/>
        <v>-</v>
      </c>
      <c r="Q154" s="61"/>
      <c r="R154" s="61"/>
      <c r="S154" s="61"/>
      <c r="T154" s="61"/>
      <c r="U154" s="61"/>
    </row>
    <row r="155" spans="1:21" s="62" customFormat="1" ht="35.1" customHeight="1">
      <c r="A155" s="63"/>
      <c r="B155" s="163"/>
      <c r="C155" s="64"/>
      <c r="D155" s="65"/>
      <c r="E155" s="65"/>
      <c r="F155" s="65"/>
      <c r="G155" s="65"/>
      <c r="H155" s="65"/>
      <c r="I155" s="65"/>
      <c r="J155" s="44"/>
      <c r="K155" s="44"/>
      <c r="L155" s="44"/>
      <c r="M155" s="17"/>
      <c r="N155" s="60"/>
      <c r="O155" s="60" t="str">
        <f t="shared" si="10"/>
        <v/>
      </c>
      <c r="P155" s="61" t="str">
        <f t="shared" si="9"/>
        <v>-</v>
      </c>
      <c r="Q155" s="61"/>
      <c r="R155" s="61"/>
      <c r="S155" s="61"/>
      <c r="T155" s="61"/>
      <c r="U155" s="61"/>
    </row>
    <row r="156" spans="1:21" s="62" customFormat="1" ht="35.1" customHeight="1">
      <c r="A156" s="63"/>
      <c r="B156" s="163"/>
      <c r="C156" s="64"/>
      <c r="D156" s="65"/>
      <c r="E156" s="65"/>
      <c r="F156" s="65"/>
      <c r="G156" s="65"/>
      <c r="H156" s="65"/>
      <c r="I156" s="65"/>
      <c r="J156" s="44"/>
      <c r="K156" s="44"/>
      <c r="L156" s="44"/>
      <c r="M156" s="17"/>
      <c r="N156" s="60"/>
      <c r="O156" s="60" t="str">
        <f t="shared" si="10"/>
        <v/>
      </c>
      <c r="P156" s="61" t="str">
        <f t="shared" si="9"/>
        <v>-</v>
      </c>
      <c r="Q156" s="61"/>
      <c r="R156" s="61"/>
      <c r="S156" s="61"/>
      <c r="T156" s="61"/>
      <c r="U156" s="61"/>
    </row>
    <row r="157" spans="1:21" s="62" customFormat="1" ht="35.1" customHeight="1">
      <c r="A157" s="63"/>
      <c r="B157" s="163"/>
      <c r="C157" s="64"/>
      <c r="D157" s="65"/>
      <c r="E157" s="65"/>
      <c r="F157" s="65"/>
      <c r="G157" s="65"/>
      <c r="H157" s="65"/>
      <c r="I157" s="65"/>
      <c r="J157" s="44"/>
      <c r="K157" s="44"/>
      <c r="L157" s="44"/>
      <c r="M157" s="17"/>
      <c r="N157" s="60"/>
      <c r="O157" s="60" t="str">
        <f t="shared" si="10"/>
        <v/>
      </c>
      <c r="P157" s="61" t="str">
        <f t="shared" si="9"/>
        <v>-</v>
      </c>
      <c r="Q157" s="61"/>
      <c r="R157" s="61"/>
      <c r="S157" s="61"/>
      <c r="T157" s="61"/>
      <c r="U157" s="61"/>
    </row>
    <row r="158" spans="1:21" s="62" customFormat="1" ht="35.1" customHeight="1">
      <c r="A158" s="63"/>
      <c r="B158" s="163"/>
      <c r="C158" s="64"/>
      <c r="D158" s="65"/>
      <c r="E158" s="65"/>
      <c r="F158" s="65"/>
      <c r="G158" s="65"/>
      <c r="H158" s="65"/>
      <c r="I158" s="65"/>
      <c r="J158" s="44"/>
      <c r="K158" s="44"/>
      <c r="L158" s="44"/>
      <c r="M158" s="17"/>
      <c r="N158" s="60"/>
      <c r="O158" s="60" t="str">
        <f t="shared" si="10"/>
        <v/>
      </c>
      <c r="P158" s="61" t="str">
        <f t="shared" si="9"/>
        <v>-</v>
      </c>
      <c r="Q158" s="61"/>
      <c r="R158" s="61"/>
      <c r="S158" s="61"/>
      <c r="T158" s="61"/>
      <c r="U158" s="61"/>
    </row>
    <row r="159" spans="1:21" s="62" customFormat="1" ht="35.1" customHeight="1">
      <c r="A159" s="63"/>
      <c r="B159" s="163"/>
      <c r="C159" s="64"/>
      <c r="D159" s="65"/>
      <c r="E159" s="65"/>
      <c r="F159" s="65"/>
      <c r="G159" s="65"/>
      <c r="H159" s="65"/>
      <c r="I159" s="65"/>
      <c r="J159" s="44"/>
      <c r="K159" s="44"/>
      <c r="L159" s="44"/>
      <c r="M159" s="17"/>
      <c r="N159" s="60"/>
      <c r="O159" s="60" t="str">
        <f t="shared" si="10"/>
        <v/>
      </c>
      <c r="P159" s="61" t="str">
        <f t="shared" si="9"/>
        <v>-</v>
      </c>
      <c r="Q159" s="61"/>
      <c r="R159" s="61"/>
      <c r="S159" s="61"/>
      <c r="T159" s="61"/>
      <c r="U159" s="61"/>
    </row>
    <row r="160" spans="1:21" s="62" customFormat="1" ht="35.1" customHeight="1">
      <c r="A160" s="63"/>
      <c r="B160" s="163"/>
      <c r="C160" s="64"/>
      <c r="D160" s="65"/>
      <c r="E160" s="65"/>
      <c r="F160" s="65"/>
      <c r="G160" s="65"/>
      <c r="H160" s="65"/>
      <c r="I160" s="65"/>
      <c r="J160" s="44"/>
      <c r="K160" s="44"/>
      <c r="L160" s="44"/>
      <c r="M160" s="17"/>
      <c r="N160" s="60"/>
      <c r="O160" s="60" t="str">
        <f t="shared" si="10"/>
        <v/>
      </c>
      <c r="P160" s="61" t="str">
        <f t="shared" si="9"/>
        <v>-</v>
      </c>
      <c r="Q160" s="61"/>
      <c r="R160" s="61"/>
      <c r="S160" s="61"/>
      <c r="T160" s="61"/>
      <c r="U160" s="61"/>
    </row>
    <row r="161" spans="1:77" s="62" customFormat="1" ht="35.1" customHeight="1">
      <c r="A161" s="63"/>
      <c r="B161" s="163"/>
      <c r="C161" s="64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60"/>
      <c r="O161" s="60" t="str">
        <f t="shared" si="10"/>
        <v/>
      </c>
      <c r="P161" s="61" t="str">
        <f t="shared" si="9"/>
        <v>-</v>
      </c>
      <c r="Q161" s="61"/>
      <c r="R161" s="61"/>
      <c r="S161" s="61"/>
      <c r="T161" s="61"/>
      <c r="U161" s="61"/>
    </row>
    <row r="162" spans="1:77" s="73" customFormat="1" ht="35.1" customHeight="1">
      <c r="A162" s="66" t="s">
        <v>41</v>
      </c>
      <c r="B162" s="67"/>
      <c r="C162" s="67"/>
      <c r="D162" s="68"/>
      <c r="E162" s="69"/>
      <c r="F162" s="69"/>
      <c r="G162" s="69">
        <f>SUM(G142:G161)</f>
        <v>0</v>
      </c>
      <c r="H162" s="70"/>
      <c r="I162" s="70"/>
      <c r="J162" s="70"/>
      <c r="K162" s="70"/>
      <c r="L162" s="70"/>
      <c r="M162" s="71"/>
      <c r="N162" s="60"/>
      <c r="O162" s="60" t="str">
        <f t="shared" si="10"/>
        <v/>
      </c>
      <c r="P162" s="61"/>
      <c r="Q162" s="61"/>
      <c r="R162" s="61"/>
      <c r="S162" s="61"/>
      <c r="T162" s="61"/>
      <c r="U162" s="61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</row>
    <row r="163" spans="1:77" s="62" customFormat="1" ht="35.1" customHeight="1">
      <c r="A163" s="58"/>
      <c r="B163" s="161"/>
      <c r="C163" s="82"/>
      <c r="D163" s="59"/>
      <c r="E163" s="59"/>
      <c r="F163" s="59"/>
      <c r="G163" s="59"/>
      <c r="H163" s="59"/>
      <c r="I163" s="59"/>
      <c r="J163" s="43"/>
      <c r="K163" s="43"/>
      <c r="L163" s="43"/>
      <c r="M163" s="16"/>
      <c r="N163" s="60"/>
      <c r="O163" s="60" t="str">
        <f t="shared" si="10"/>
        <v/>
      </c>
      <c r="P163" s="61" t="str">
        <f t="shared" ref="P163:P182" si="11">IF(E163&gt;=G163,"-","err")</f>
        <v>-</v>
      </c>
      <c r="Q163" s="61"/>
      <c r="R163" s="61"/>
      <c r="S163" s="61"/>
      <c r="T163" s="61"/>
      <c r="U163" s="61"/>
    </row>
    <row r="164" spans="1:77" s="62" customFormat="1" ht="35.1" customHeight="1">
      <c r="A164" s="92"/>
      <c r="B164" s="162"/>
      <c r="C164" s="96"/>
      <c r="D164" s="93"/>
      <c r="E164" s="93"/>
      <c r="F164" s="93"/>
      <c r="G164" s="93"/>
      <c r="H164" s="93"/>
      <c r="I164" s="93"/>
      <c r="J164" s="94"/>
      <c r="K164" s="94"/>
      <c r="L164" s="94"/>
      <c r="M164" s="95"/>
      <c r="N164" s="60"/>
      <c r="O164" s="60" t="str">
        <f t="shared" si="10"/>
        <v/>
      </c>
      <c r="P164" s="61" t="str">
        <f t="shared" si="11"/>
        <v>-</v>
      </c>
      <c r="Q164" s="61"/>
      <c r="R164" s="61"/>
      <c r="S164" s="61"/>
      <c r="T164" s="61"/>
      <c r="U164" s="61"/>
    </row>
    <row r="165" spans="1:77" s="62" customFormat="1" ht="35.1" customHeight="1">
      <c r="A165" s="63"/>
      <c r="B165" s="163"/>
      <c r="C165" s="83"/>
      <c r="D165" s="65"/>
      <c r="E165" s="65"/>
      <c r="F165" s="65"/>
      <c r="G165" s="65"/>
      <c r="H165" s="65"/>
      <c r="I165" s="65"/>
      <c r="J165" s="44"/>
      <c r="K165" s="44">
        <v>0</v>
      </c>
      <c r="L165" s="44">
        <v>0</v>
      </c>
      <c r="M165" s="17"/>
      <c r="N165" s="60"/>
      <c r="O165" s="60" t="str">
        <f t="shared" si="10"/>
        <v/>
      </c>
      <c r="P165" s="61" t="str">
        <f t="shared" si="11"/>
        <v>-</v>
      </c>
      <c r="Q165" s="61"/>
      <c r="R165" s="61"/>
      <c r="S165" s="61"/>
      <c r="T165" s="61"/>
      <c r="U165" s="61"/>
    </row>
    <row r="166" spans="1:77" s="62" customFormat="1" ht="35.1" customHeight="1">
      <c r="A166" s="63"/>
      <c r="B166" s="163"/>
      <c r="C166" s="84"/>
      <c r="D166" s="65"/>
      <c r="E166" s="65"/>
      <c r="F166" s="65"/>
      <c r="G166" s="65"/>
      <c r="H166" s="65"/>
      <c r="I166" s="65"/>
      <c r="J166" s="44"/>
      <c r="K166" s="44">
        <v>0</v>
      </c>
      <c r="L166" s="44">
        <v>0</v>
      </c>
      <c r="M166" s="17"/>
      <c r="N166" s="60"/>
      <c r="O166" s="60" t="str">
        <f t="shared" si="10"/>
        <v/>
      </c>
      <c r="P166" s="61" t="str">
        <f t="shared" si="11"/>
        <v>-</v>
      </c>
      <c r="Q166" s="61"/>
      <c r="R166" s="61"/>
      <c r="S166" s="61"/>
      <c r="T166" s="61"/>
      <c r="U166" s="61"/>
    </row>
    <row r="167" spans="1:77" s="62" customFormat="1" ht="35.1" customHeight="1">
      <c r="A167" s="63"/>
      <c r="B167" s="163"/>
      <c r="C167" s="89"/>
      <c r="D167" s="65"/>
      <c r="E167" s="65"/>
      <c r="F167" s="65"/>
      <c r="G167" s="65"/>
      <c r="H167" s="65"/>
      <c r="I167" s="65"/>
      <c r="J167" s="44"/>
      <c r="K167" s="44">
        <v>0</v>
      </c>
      <c r="L167" s="44">
        <v>0</v>
      </c>
      <c r="M167" s="17"/>
      <c r="N167" s="60"/>
      <c r="O167" s="60" t="str">
        <f t="shared" si="10"/>
        <v/>
      </c>
      <c r="P167" s="61" t="str">
        <f t="shared" si="11"/>
        <v>-</v>
      </c>
      <c r="Q167" s="61"/>
      <c r="R167" s="61"/>
      <c r="S167" s="61"/>
      <c r="T167" s="61"/>
      <c r="U167" s="61"/>
    </row>
    <row r="168" spans="1:77" s="62" customFormat="1" ht="35.1" customHeight="1">
      <c r="A168" s="63"/>
      <c r="B168" s="163"/>
      <c r="C168" s="89"/>
      <c r="D168" s="65"/>
      <c r="E168" s="65"/>
      <c r="F168" s="65"/>
      <c r="G168" s="65"/>
      <c r="H168" s="65"/>
      <c r="I168" s="65"/>
      <c r="J168" s="44"/>
      <c r="K168" s="44">
        <v>0</v>
      </c>
      <c r="L168" s="44">
        <v>0</v>
      </c>
      <c r="M168" s="17"/>
      <c r="N168" s="60"/>
      <c r="O168" s="60" t="str">
        <f t="shared" si="10"/>
        <v/>
      </c>
      <c r="P168" s="61" t="str">
        <f t="shared" si="11"/>
        <v>-</v>
      </c>
      <c r="Q168" s="61"/>
      <c r="R168" s="61"/>
      <c r="S168" s="61"/>
      <c r="T168" s="61"/>
      <c r="U168" s="61"/>
    </row>
    <row r="169" spans="1:77" s="62" customFormat="1" ht="35.1" customHeight="1">
      <c r="A169" s="63"/>
      <c r="B169" s="163"/>
      <c r="C169" s="89"/>
      <c r="D169" s="65"/>
      <c r="E169" s="65"/>
      <c r="F169" s="65"/>
      <c r="G169" s="65"/>
      <c r="H169" s="65"/>
      <c r="I169" s="65"/>
      <c r="J169" s="44"/>
      <c r="K169" s="44">
        <v>0</v>
      </c>
      <c r="L169" s="44">
        <v>0</v>
      </c>
      <c r="M169" s="17"/>
      <c r="N169" s="60"/>
      <c r="O169" s="60" t="str">
        <f t="shared" si="10"/>
        <v/>
      </c>
      <c r="P169" s="61" t="str">
        <f t="shared" si="11"/>
        <v>-</v>
      </c>
      <c r="Q169" s="61"/>
      <c r="R169" s="61"/>
      <c r="S169" s="61"/>
      <c r="T169" s="61"/>
      <c r="U169" s="61"/>
    </row>
    <row r="170" spans="1:77" s="62" customFormat="1" ht="35.1" customHeight="1">
      <c r="A170" s="63"/>
      <c r="B170" s="163"/>
      <c r="C170" s="89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60"/>
      <c r="O170" s="60" t="str">
        <f t="shared" si="10"/>
        <v/>
      </c>
      <c r="P170" s="61" t="str">
        <f t="shared" si="11"/>
        <v>-</v>
      </c>
      <c r="Q170" s="61"/>
      <c r="R170" s="61"/>
      <c r="S170" s="61"/>
      <c r="T170" s="61"/>
      <c r="U170" s="61"/>
    </row>
    <row r="171" spans="1:77" s="62" customFormat="1" ht="35.1" customHeight="1">
      <c r="A171" s="63"/>
      <c r="B171" s="163"/>
      <c r="C171" s="89"/>
      <c r="D171" s="65"/>
      <c r="E171" s="65"/>
      <c r="F171" s="65"/>
      <c r="G171" s="65"/>
      <c r="H171" s="65"/>
      <c r="I171" s="65"/>
      <c r="J171" s="44"/>
      <c r="K171" s="44">
        <v>0</v>
      </c>
      <c r="L171" s="44">
        <v>0</v>
      </c>
      <c r="M171" s="17"/>
      <c r="N171" s="60"/>
      <c r="O171" s="60" t="str">
        <f t="shared" si="10"/>
        <v/>
      </c>
      <c r="P171" s="61" t="str">
        <f t="shared" si="11"/>
        <v>-</v>
      </c>
      <c r="Q171" s="61"/>
      <c r="R171" s="61"/>
      <c r="S171" s="61"/>
      <c r="T171" s="61"/>
      <c r="U171" s="61"/>
    </row>
    <row r="172" spans="1:77" s="62" customFormat="1" ht="35.1" customHeight="1">
      <c r="A172" s="63"/>
      <c r="B172" s="163"/>
      <c r="C172" s="89"/>
      <c r="D172" s="65"/>
      <c r="E172" s="65"/>
      <c r="F172" s="65"/>
      <c r="G172" s="65"/>
      <c r="H172" s="65"/>
      <c r="I172" s="65"/>
      <c r="J172" s="44"/>
      <c r="K172" s="44">
        <v>0</v>
      </c>
      <c r="L172" s="44">
        <v>0</v>
      </c>
      <c r="M172" s="17"/>
      <c r="N172" s="60"/>
      <c r="O172" s="60" t="str">
        <f t="shared" si="10"/>
        <v/>
      </c>
      <c r="P172" s="61" t="str">
        <f t="shared" si="11"/>
        <v>-</v>
      </c>
      <c r="Q172" s="61"/>
      <c r="R172" s="61"/>
      <c r="S172" s="61"/>
      <c r="T172" s="61"/>
      <c r="U172" s="61"/>
    </row>
    <row r="173" spans="1:77" s="62" customFormat="1" ht="35.1" customHeight="1">
      <c r="A173" s="63"/>
      <c r="B173" s="163"/>
      <c r="C173" s="89"/>
      <c r="D173" s="65"/>
      <c r="E173" s="65"/>
      <c r="F173" s="65"/>
      <c r="G173" s="65"/>
      <c r="H173" s="65"/>
      <c r="I173" s="65"/>
      <c r="J173" s="44"/>
      <c r="K173" s="44">
        <v>0</v>
      </c>
      <c r="L173" s="44">
        <v>0</v>
      </c>
      <c r="M173" s="17"/>
      <c r="N173" s="60"/>
      <c r="O173" s="60" t="str">
        <f t="shared" si="10"/>
        <v/>
      </c>
      <c r="P173" s="61" t="str">
        <f t="shared" si="11"/>
        <v>-</v>
      </c>
      <c r="Q173" s="61"/>
      <c r="R173" s="61"/>
      <c r="S173" s="61"/>
      <c r="T173" s="61"/>
      <c r="U173" s="61"/>
    </row>
    <row r="174" spans="1:77" s="62" customFormat="1" ht="35.1" customHeight="1">
      <c r="A174" s="63"/>
      <c r="B174" s="163"/>
      <c r="C174" s="64"/>
      <c r="D174" s="65"/>
      <c r="E174" s="65"/>
      <c r="F174" s="65"/>
      <c r="G174" s="65"/>
      <c r="H174" s="65"/>
      <c r="I174" s="65"/>
      <c r="J174" s="44"/>
      <c r="K174" s="44"/>
      <c r="L174" s="44"/>
      <c r="M174" s="17"/>
      <c r="N174" s="60"/>
      <c r="O174" s="60" t="str">
        <f t="shared" si="10"/>
        <v/>
      </c>
      <c r="P174" s="61" t="str">
        <f t="shared" si="11"/>
        <v>-</v>
      </c>
      <c r="Q174" s="61"/>
      <c r="R174" s="61"/>
      <c r="S174" s="61"/>
      <c r="T174" s="61"/>
      <c r="U174" s="61"/>
    </row>
    <row r="175" spans="1:77" s="62" customFormat="1" ht="35.1" customHeight="1">
      <c r="A175" s="63"/>
      <c r="B175" s="163"/>
      <c r="C175" s="64"/>
      <c r="D175" s="65"/>
      <c r="E175" s="65"/>
      <c r="F175" s="65"/>
      <c r="G175" s="65"/>
      <c r="H175" s="65"/>
      <c r="I175" s="65"/>
      <c r="J175" s="44"/>
      <c r="K175" s="44"/>
      <c r="L175" s="44"/>
      <c r="M175" s="17"/>
      <c r="N175" s="60"/>
      <c r="O175" s="60" t="str">
        <f t="shared" si="10"/>
        <v/>
      </c>
      <c r="P175" s="61" t="str">
        <f t="shared" si="11"/>
        <v>-</v>
      </c>
      <c r="Q175" s="61"/>
      <c r="R175" s="61"/>
      <c r="S175" s="61"/>
      <c r="T175" s="61"/>
      <c r="U175" s="61"/>
    </row>
    <row r="176" spans="1:77" s="62" customFormat="1" ht="35.1" customHeight="1">
      <c r="A176" s="63"/>
      <c r="B176" s="163"/>
      <c r="C176" s="64"/>
      <c r="D176" s="65"/>
      <c r="E176" s="65"/>
      <c r="F176" s="65"/>
      <c r="G176" s="65"/>
      <c r="H176" s="65"/>
      <c r="I176" s="65"/>
      <c r="J176" s="44"/>
      <c r="K176" s="44"/>
      <c r="L176" s="44"/>
      <c r="M176" s="17"/>
      <c r="N176" s="60"/>
      <c r="O176" s="60" t="str">
        <f t="shared" si="10"/>
        <v/>
      </c>
      <c r="P176" s="61" t="str">
        <f t="shared" si="11"/>
        <v>-</v>
      </c>
      <c r="Q176" s="61"/>
      <c r="R176" s="61"/>
      <c r="S176" s="61"/>
      <c r="T176" s="61"/>
      <c r="U176" s="61"/>
    </row>
    <row r="177" spans="1:77" s="62" customFormat="1" ht="35.1" customHeight="1">
      <c r="A177" s="63"/>
      <c r="B177" s="163"/>
      <c r="C177" s="64"/>
      <c r="D177" s="65"/>
      <c r="E177" s="65"/>
      <c r="F177" s="65"/>
      <c r="G177" s="65"/>
      <c r="H177" s="65"/>
      <c r="I177" s="65"/>
      <c r="J177" s="44"/>
      <c r="K177" s="44"/>
      <c r="L177" s="44"/>
      <c r="M177" s="17"/>
      <c r="N177" s="60"/>
      <c r="O177" s="60" t="str">
        <f t="shared" si="10"/>
        <v/>
      </c>
      <c r="P177" s="61" t="str">
        <f t="shared" si="11"/>
        <v>-</v>
      </c>
      <c r="Q177" s="61"/>
      <c r="R177" s="61"/>
      <c r="S177" s="61"/>
      <c r="T177" s="61"/>
      <c r="U177" s="61"/>
    </row>
    <row r="178" spans="1:77" s="62" customFormat="1" ht="35.1" customHeight="1">
      <c r="A178" s="63"/>
      <c r="B178" s="163"/>
      <c r="C178" s="64"/>
      <c r="D178" s="65"/>
      <c r="E178" s="65"/>
      <c r="F178" s="65"/>
      <c r="G178" s="65"/>
      <c r="H178" s="65"/>
      <c r="I178" s="65"/>
      <c r="J178" s="44"/>
      <c r="K178" s="44"/>
      <c r="L178" s="44"/>
      <c r="M178" s="17"/>
      <c r="N178" s="60"/>
      <c r="O178" s="60" t="str">
        <f t="shared" si="10"/>
        <v/>
      </c>
      <c r="P178" s="61" t="str">
        <f t="shared" si="11"/>
        <v>-</v>
      </c>
      <c r="Q178" s="61"/>
      <c r="R178" s="61"/>
      <c r="S178" s="61"/>
      <c r="T178" s="61"/>
      <c r="U178" s="61"/>
    </row>
    <row r="179" spans="1:77" s="62" customFormat="1" ht="35.1" customHeight="1">
      <c r="A179" s="63"/>
      <c r="B179" s="163"/>
      <c r="C179" s="64"/>
      <c r="D179" s="65"/>
      <c r="E179" s="65"/>
      <c r="F179" s="65"/>
      <c r="G179" s="65"/>
      <c r="H179" s="65"/>
      <c r="I179" s="65"/>
      <c r="J179" s="44"/>
      <c r="K179" s="44"/>
      <c r="L179" s="44"/>
      <c r="M179" s="17"/>
      <c r="N179" s="60"/>
      <c r="O179" s="60" t="str">
        <f t="shared" si="10"/>
        <v/>
      </c>
      <c r="P179" s="61" t="str">
        <f t="shared" si="11"/>
        <v>-</v>
      </c>
      <c r="Q179" s="61"/>
      <c r="R179" s="61"/>
      <c r="S179" s="61"/>
      <c r="T179" s="61"/>
      <c r="U179" s="61"/>
    </row>
    <row r="180" spans="1:77" s="62" customFormat="1" ht="35.1" customHeight="1">
      <c r="A180" s="63"/>
      <c r="B180" s="163"/>
      <c r="C180" s="64"/>
      <c r="D180" s="65"/>
      <c r="E180" s="65"/>
      <c r="F180" s="65"/>
      <c r="G180" s="65"/>
      <c r="H180" s="65"/>
      <c r="I180" s="65"/>
      <c r="J180" s="44"/>
      <c r="K180" s="44"/>
      <c r="L180" s="44"/>
      <c r="M180" s="17"/>
      <c r="N180" s="60"/>
      <c r="O180" s="60" t="str">
        <f t="shared" si="10"/>
        <v/>
      </c>
      <c r="P180" s="61" t="str">
        <f t="shared" si="11"/>
        <v>-</v>
      </c>
      <c r="Q180" s="61"/>
      <c r="R180" s="61"/>
      <c r="S180" s="61"/>
      <c r="T180" s="61"/>
      <c r="U180" s="61"/>
    </row>
    <row r="181" spans="1:77" s="62" customFormat="1" ht="35.1" customHeight="1">
      <c r="A181" s="63"/>
      <c r="B181" s="163"/>
      <c r="C181" s="64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60"/>
      <c r="O181" s="60" t="str">
        <f t="shared" si="10"/>
        <v/>
      </c>
      <c r="P181" s="61" t="str">
        <f t="shared" si="11"/>
        <v>-</v>
      </c>
      <c r="Q181" s="61"/>
      <c r="R181" s="61"/>
      <c r="S181" s="61"/>
      <c r="T181" s="61"/>
      <c r="U181" s="61"/>
    </row>
    <row r="182" spans="1:77" s="62" customFormat="1" ht="35.1" customHeight="1">
      <c r="A182" s="63"/>
      <c r="B182" s="163"/>
      <c r="C182" s="64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60"/>
      <c r="O182" s="60" t="str">
        <f t="shared" si="10"/>
        <v/>
      </c>
      <c r="P182" s="61" t="str">
        <f t="shared" si="11"/>
        <v>-</v>
      </c>
      <c r="Q182" s="61"/>
      <c r="R182" s="61"/>
      <c r="S182" s="61"/>
      <c r="T182" s="61"/>
      <c r="U182" s="61"/>
    </row>
    <row r="183" spans="1:77" s="73" customFormat="1" ht="35.1" customHeight="1">
      <c r="A183" s="66" t="s">
        <v>41</v>
      </c>
      <c r="B183" s="67"/>
      <c r="C183" s="67"/>
      <c r="D183" s="68"/>
      <c r="E183" s="69"/>
      <c r="F183" s="69"/>
      <c r="G183" s="69">
        <f>SUM(G163:G182)</f>
        <v>0</v>
      </c>
      <c r="H183" s="70"/>
      <c r="I183" s="70"/>
      <c r="J183" s="70"/>
      <c r="K183" s="70"/>
      <c r="L183" s="70"/>
      <c r="M183" s="71"/>
      <c r="N183" s="60"/>
      <c r="O183" s="60" t="str">
        <f t="shared" si="10"/>
        <v/>
      </c>
      <c r="P183" s="61"/>
      <c r="Q183" s="61"/>
      <c r="R183" s="61"/>
      <c r="S183" s="61"/>
      <c r="T183" s="61"/>
      <c r="U183" s="61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</row>
    <row r="184" spans="1:77" s="62" customFormat="1" ht="35.1" customHeight="1">
      <c r="A184" s="58"/>
      <c r="B184" s="161"/>
      <c r="C184" s="82"/>
      <c r="D184" s="59"/>
      <c r="E184" s="59"/>
      <c r="F184" s="59"/>
      <c r="G184" s="59"/>
      <c r="H184" s="59"/>
      <c r="I184" s="59"/>
      <c r="J184" s="43"/>
      <c r="K184" s="43"/>
      <c r="L184" s="43"/>
      <c r="M184" s="16"/>
      <c r="N184" s="60"/>
      <c r="O184" s="60" t="str">
        <f t="shared" si="10"/>
        <v/>
      </c>
      <c r="P184" s="61" t="str">
        <f t="shared" ref="P184:P203" si="12">IF(E184&gt;=G184,"-","err")</f>
        <v>-</v>
      </c>
      <c r="Q184" s="61"/>
      <c r="R184" s="61"/>
      <c r="S184" s="61"/>
      <c r="T184" s="61"/>
      <c r="U184" s="61"/>
    </row>
    <row r="185" spans="1:77" s="62" customFormat="1" ht="35.1" customHeight="1">
      <c r="A185" s="92"/>
      <c r="B185" s="162"/>
      <c r="C185" s="96"/>
      <c r="D185" s="93"/>
      <c r="E185" s="93"/>
      <c r="F185" s="93"/>
      <c r="G185" s="93"/>
      <c r="H185" s="93"/>
      <c r="I185" s="93"/>
      <c r="J185" s="94"/>
      <c r="K185" s="94"/>
      <c r="L185" s="94"/>
      <c r="M185" s="95"/>
      <c r="N185" s="60"/>
      <c r="O185" s="60" t="str">
        <f t="shared" si="10"/>
        <v/>
      </c>
      <c r="P185" s="61" t="str">
        <f t="shared" si="12"/>
        <v>-</v>
      </c>
      <c r="Q185" s="61"/>
      <c r="R185" s="61"/>
      <c r="S185" s="61"/>
      <c r="T185" s="61"/>
      <c r="U185" s="61"/>
    </row>
    <row r="186" spans="1:77" s="62" customFormat="1" ht="35.1" customHeight="1">
      <c r="A186" s="63"/>
      <c r="B186" s="163"/>
      <c r="C186" s="83"/>
      <c r="D186" s="65"/>
      <c r="E186" s="65"/>
      <c r="F186" s="65"/>
      <c r="G186" s="65"/>
      <c r="H186" s="65"/>
      <c r="I186" s="65"/>
      <c r="J186" s="44">
        <v>0</v>
      </c>
      <c r="K186" s="44">
        <v>0</v>
      </c>
      <c r="L186" s="44">
        <v>0</v>
      </c>
      <c r="M186" s="17"/>
      <c r="N186" s="60"/>
      <c r="O186" s="60" t="str">
        <f t="shared" si="10"/>
        <v/>
      </c>
      <c r="P186" s="61" t="str">
        <f t="shared" si="12"/>
        <v>-</v>
      </c>
      <c r="Q186" s="61"/>
      <c r="R186" s="61"/>
      <c r="S186" s="61"/>
      <c r="T186" s="61"/>
      <c r="U186" s="61"/>
    </row>
    <row r="187" spans="1:77" s="62" customFormat="1" ht="35.1" customHeight="1">
      <c r="A187" s="63"/>
      <c r="B187" s="163"/>
      <c r="C187" s="84"/>
      <c r="D187" s="65"/>
      <c r="E187" s="65"/>
      <c r="F187" s="65"/>
      <c r="G187" s="65"/>
      <c r="H187" s="65"/>
      <c r="I187" s="65"/>
      <c r="J187" s="44">
        <v>0</v>
      </c>
      <c r="K187" s="44">
        <v>0</v>
      </c>
      <c r="L187" s="44">
        <v>0</v>
      </c>
      <c r="M187" s="17"/>
      <c r="N187" s="60"/>
      <c r="O187" s="60" t="str">
        <f t="shared" si="10"/>
        <v/>
      </c>
      <c r="P187" s="61" t="str">
        <f t="shared" si="12"/>
        <v>-</v>
      </c>
      <c r="Q187" s="61"/>
      <c r="R187" s="61"/>
      <c r="S187" s="61"/>
      <c r="T187" s="61"/>
      <c r="U187" s="61"/>
    </row>
    <row r="188" spans="1:77" s="62" customFormat="1" ht="35.1" customHeight="1">
      <c r="A188" s="63"/>
      <c r="B188" s="163"/>
      <c r="C188" s="89"/>
      <c r="D188" s="65"/>
      <c r="E188" s="65"/>
      <c r="F188" s="65"/>
      <c r="G188" s="65"/>
      <c r="H188" s="65"/>
      <c r="I188" s="65"/>
      <c r="J188" s="44">
        <v>0</v>
      </c>
      <c r="K188" s="44">
        <v>0</v>
      </c>
      <c r="L188" s="44">
        <v>0</v>
      </c>
      <c r="M188" s="17"/>
      <c r="N188" s="60"/>
      <c r="O188" s="60" t="str">
        <f t="shared" si="10"/>
        <v/>
      </c>
      <c r="P188" s="61" t="str">
        <f t="shared" si="12"/>
        <v>-</v>
      </c>
      <c r="Q188" s="61"/>
      <c r="R188" s="61"/>
      <c r="S188" s="61"/>
      <c r="T188" s="61"/>
      <c r="U188" s="61"/>
    </row>
    <row r="189" spans="1:77" s="62" customFormat="1" ht="35.1" customHeight="1">
      <c r="A189" s="63"/>
      <c r="B189" s="163"/>
      <c r="C189" s="89"/>
      <c r="D189" s="65"/>
      <c r="E189" s="65"/>
      <c r="F189" s="65"/>
      <c r="G189" s="65"/>
      <c r="H189" s="65"/>
      <c r="I189" s="65"/>
      <c r="J189" s="44">
        <v>0</v>
      </c>
      <c r="K189" s="44">
        <v>0</v>
      </c>
      <c r="L189" s="44">
        <v>0</v>
      </c>
      <c r="M189" s="17"/>
      <c r="N189" s="60"/>
      <c r="O189" s="60" t="str">
        <f t="shared" si="10"/>
        <v/>
      </c>
      <c r="P189" s="61" t="str">
        <f t="shared" si="12"/>
        <v>-</v>
      </c>
      <c r="Q189" s="61"/>
      <c r="R189" s="61"/>
      <c r="S189" s="61"/>
      <c r="T189" s="61"/>
      <c r="U189" s="61"/>
    </row>
    <row r="190" spans="1:77" s="62" customFormat="1" ht="35.1" customHeight="1">
      <c r="A190" s="63"/>
      <c r="B190" s="163"/>
      <c r="C190" s="89"/>
      <c r="D190" s="65"/>
      <c r="E190" s="65"/>
      <c r="F190" s="65"/>
      <c r="G190" s="65"/>
      <c r="H190" s="65"/>
      <c r="I190" s="65"/>
      <c r="J190" s="44"/>
      <c r="K190" s="44"/>
      <c r="L190" s="44"/>
      <c r="M190" s="17"/>
      <c r="N190" s="60"/>
      <c r="O190" s="60" t="str">
        <f t="shared" si="10"/>
        <v/>
      </c>
      <c r="P190" s="61" t="str">
        <f t="shared" si="12"/>
        <v>-</v>
      </c>
      <c r="Q190" s="61"/>
      <c r="R190" s="61"/>
      <c r="S190" s="61"/>
      <c r="T190" s="61"/>
      <c r="U190" s="61"/>
    </row>
    <row r="191" spans="1:77" s="62" customFormat="1" ht="35.1" customHeight="1">
      <c r="A191" s="63"/>
      <c r="B191" s="163"/>
      <c r="C191" s="89"/>
      <c r="D191" s="65"/>
      <c r="E191" s="65"/>
      <c r="F191" s="65"/>
      <c r="G191" s="65"/>
      <c r="H191" s="65"/>
      <c r="I191" s="65"/>
      <c r="J191" s="44"/>
      <c r="K191" s="44"/>
      <c r="L191" s="44"/>
      <c r="M191" s="17"/>
      <c r="N191" s="60"/>
      <c r="O191" s="60" t="str">
        <f t="shared" si="10"/>
        <v/>
      </c>
      <c r="P191" s="61" t="str">
        <f t="shared" si="12"/>
        <v>-</v>
      </c>
      <c r="Q191" s="61"/>
      <c r="R191" s="61"/>
      <c r="S191" s="61"/>
      <c r="T191" s="61"/>
      <c r="U191" s="61"/>
    </row>
    <row r="192" spans="1:77" s="62" customFormat="1" ht="35.1" customHeight="1">
      <c r="A192" s="63"/>
      <c r="B192" s="163"/>
      <c r="C192" s="89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60"/>
      <c r="O192" s="60" t="str">
        <f t="shared" si="10"/>
        <v/>
      </c>
      <c r="P192" s="61" t="str">
        <f t="shared" si="12"/>
        <v>-</v>
      </c>
      <c r="Q192" s="61"/>
      <c r="R192" s="61"/>
      <c r="S192" s="61"/>
      <c r="T192" s="61"/>
      <c r="U192" s="61"/>
    </row>
    <row r="193" spans="1:77" s="62" customFormat="1" ht="35.1" customHeight="1">
      <c r="A193" s="63"/>
      <c r="B193" s="163"/>
      <c r="C193" s="89"/>
      <c r="D193" s="65"/>
      <c r="E193" s="65"/>
      <c r="F193" s="65"/>
      <c r="G193" s="65"/>
      <c r="H193" s="65"/>
      <c r="I193" s="65"/>
      <c r="J193" s="44">
        <v>0</v>
      </c>
      <c r="K193" s="44">
        <v>0</v>
      </c>
      <c r="L193" s="44">
        <v>0</v>
      </c>
      <c r="M193" s="17"/>
      <c r="N193" s="60"/>
      <c r="O193" s="60" t="str">
        <f t="shared" si="10"/>
        <v/>
      </c>
      <c r="P193" s="61" t="str">
        <f t="shared" si="12"/>
        <v>-</v>
      </c>
      <c r="Q193" s="61"/>
      <c r="R193" s="61"/>
      <c r="S193" s="61"/>
      <c r="T193" s="61"/>
      <c r="U193" s="61"/>
    </row>
    <row r="194" spans="1:77" s="62" customFormat="1" ht="35.1" customHeight="1">
      <c r="A194" s="63"/>
      <c r="B194" s="163"/>
      <c r="C194" s="89"/>
      <c r="D194" s="65"/>
      <c r="E194" s="65"/>
      <c r="F194" s="65"/>
      <c r="G194" s="65"/>
      <c r="H194" s="65"/>
      <c r="I194" s="65"/>
      <c r="J194" s="44">
        <v>0</v>
      </c>
      <c r="K194" s="44">
        <v>0</v>
      </c>
      <c r="L194" s="44">
        <v>0</v>
      </c>
      <c r="M194" s="17"/>
      <c r="N194" s="60"/>
      <c r="O194" s="60" t="str">
        <f t="shared" si="10"/>
        <v/>
      </c>
      <c r="P194" s="61" t="str">
        <f t="shared" si="12"/>
        <v>-</v>
      </c>
      <c r="Q194" s="61"/>
      <c r="R194" s="61"/>
      <c r="S194" s="61"/>
      <c r="T194" s="61"/>
      <c r="U194" s="61"/>
    </row>
    <row r="195" spans="1:77" s="62" customFormat="1" ht="35.1" customHeight="1">
      <c r="A195" s="63"/>
      <c r="B195" s="163"/>
      <c r="C195" s="64"/>
      <c r="D195" s="65"/>
      <c r="E195" s="65"/>
      <c r="F195" s="65"/>
      <c r="G195" s="65"/>
      <c r="H195" s="65"/>
      <c r="I195" s="65"/>
      <c r="J195" s="44"/>
      <c r="K195" s="44"/>
      <c r="L195" s="44"/>
      <c r="M195" s="17"/>
      <c r="N195" s="60"/>
      <c r="O195" s="60" t="str">
        <f t="shared" si="10"/>
        <v/>
      </c>
      <c r="P195" s="61" t="str">
        <f t="shared" si="12"/>
        <v>-</v>
      </c>
      <c r="Q195" s="61"/>
      <c r="R195" s="61"/>
      <c r="S195" s="61"/>
      <c r="T195" s="61"/>
      <c r="U195" s="61"/>
    </row>
    <row r="196" spans="1:77" s="62" customFormat="1" ht="35.1" customHeight="1">
      <c r="A196" s="63"/>
      <c r="B196" s="163"/>
      <c r="C196" s="64"/>
      <c r="D196" s="65"/>
      <c r="E196" s="65"/>
      <c r="F196" s="65"/>
      <c r="G196" s="65"/>
      <c r="H196" s="65"/>
      <c r="I196" s="65"/>
      <c r="J196" s="44"/>
      <c r="K196" s="44"/>
      <c r="L196" s="44"/>
      <c r="M196" s="17"/>
      <c r="N196" s="60"/>
      <c r="O196" s="60" t="str">
        <f t="shared" si="10"/>
        <v/>
      </c>
      <c r="P196" s="61" t="str">
        <f t="shared" si="12"/>
        <v>-</v>
      </c>
      <c r="Q196" s="61"/>
      <c r="R196" s="61"/>
      <c r="S196" s="61"/>
      <c r="T196" s="61"/>
      <c r="U196" s="61"/>
    </row>
    <row r="197" spans="1:77" s="62" customFormat="1" ht="35.1" customHeight="1">
      <c r="A197" s="63"/>
      <c r="B197" s="163"/>
      <c r="C197" s="64"/>
      <c r="D197" s="65"/>
      <c r="E197" s="65"/>
      <c r="F197" s="65"/>
      <c r="G197" s="65"/>
      <c r="H197" s="65"/>
      <c r="I197" s="65"/>
      <c r="J197" s="44"/>
      <c r="K197" s="44"/>
      <c r="L197" s="44"/>
      <c r="M197" s="17"/>
      <c r="N197" s="60"/>
      <c r="O197" s="60" t="str">
        <f t="shared" si="10"/>
        <v/>
      </c>
      <c r="P197" s="61" t="str">
        <f t="shared" si="12"/>
        <v>-</v>
      </c>
      <c r="Q197" s="61"/>
      <c r="R197" s="61"/>
      <c r="S197" s="61"/>
      <c r="T197" s="61"/>
      <c r="U197" s="61"/>
    </row>
    <row r="198" spans="1:77" s="62" customFormat="1" ht="35.1" customHeight="1">
      <c r="A198" s="63"/>
      <c r="B198" s="163"/>
      <c r="C198" s="64"/>
      <c r="D198" s="65"/>
      <c r="E198" s="65"/>
      <c r="F198" s="65"/>
      <c r="G198" s="65"/>
      <c r="H198" s="65"/>
      <c r="I198" s="65"/>
      <c r="J198" s="44"/>
      <c r="K198" s="44"/>
      <c r="L198" s="44"/>
      <c r="M198" s="17"/>
      <c r="N198" s="60"/>
      <c r="O198" s="60" t="str">
        <f t="shared" si="10"/>
        <v/>
      </c>
      <c r="P198" s="61" t="str">
        <f t="shared" si="12"/>
        <v>-</v>
      </c>
      <c r="Q198" s="61"/>
      <c r="R198" s="61"/>
      <c r="S198" s="61"/>
      <c r="T198" s="61"/>
      <c r="U198" s="61"/>
    </row>
    <row r="199" spans="1:77" s="62" customFormat="1" ht="35.1" customHeight="1">
      <c r="A199" s="63"/>
      <c r="B199" s="163"/>
      <c r="C199" s="64"/>
      <c r="D199" s="65"/>
      <c r="E199" s="65"/>
      <c r="F199" s="65"/>
      <c r="G199" s="65"/>
      <c r="H199" s="65"/>
      <c r="I199" s="65"/>
      <c r="J199" s="44"/>
      <c r="K199" s="44"/>
      <c r="L199" s="44"/>
      <c r="M199" s="17"/>
      <c r="N199" s="60"/>
      <c r="O199" s="60" t="str">
        <f t="shared" si="10"/>
        <v/>
      </c>
      <c r="P199" s="61" t="str">
        <f t="shared" si="12"/>
        <v>-</v>
      </c>
      <c r="Q199" s="61"/>
      <c r="R199" s="61"/>
      <c r="S199" s="61"/>
      <c r="T199" s="61"/>
      <c r="U199" s="61"/>
    </row>
    <row r="200" spans="1:77" s="62" customFormat="1" ht="35.1" customHeight="1">
      <c r="A200" s="63"/>
      <c r="B200" s="163"/>
      <c r="C200" s="64"/>
      <c r="D200" s="65"/>
      <c r="E200" s="65"/>
      <c r="F200" s="65"/>
      <c r="G200" s="65"/>
      <c r="H200" s="65"/>
      <c r="I200" s="65"/>
      <c r="J200" s="44"/>
      <c r="K200" s="44"/>
      <c r="L200" s="44"/>
      <c r="M200" s="17"/>
      <c r="N200" s="60"/>
      <c r="O200" s="60" t="str">
        <f t="shared" si="10"/>
        <v/>
      </c>
      <c r="P200" s="61" t="str">
        <f t="shared" si="12"/>
        <v>-</v>
      </c>
      <c r="Q200" s="61"/>
      <c r="R200" s="61"/>
      <c r="S200" s="61"/>
      <c r="T200" s="61"/>
      <c r="U200" s="61"/>
    </row>
    <row r="201" spans="1:77" s="62" customFormat="1" ht="35.1" customHeight="1">
      <c r="A201" s="63"/>
      <c r="B201" s="163"/>
      <c r="C201" s="64"/>
      <c r="D201" s="65"/>
      <c r="E201" s="65"/>
      <c r="F201" s="65"/>
      <c r="G201" s="65"/>
      <c r="H201" s="65"/>
      <c r="I201" s="65"/>
      <c r="J201" s="44"/>
      <c r="K201" s="44"/>
      <c r="L201" s="44"/>
      <c r="M201" s="17"/>
      <c r="N201" s="60"/>
      <c r="O201" s="60" t="str">
        <f t="shared" si="10"/>
        <v/>
      </c>
      <c r="P201" s="61" t="str">
        <f t="shared" si="12"/>
        <v>-</v>
      </c>
      <c r="Q201" s="61"/>
      <c r="R201" s="61"/>
      <c r="S201" s="61"/>
      <c r="T201" s="61"/>
      <c r="U201" s="61"/>
    </row>
    <row r="202" spans="1:77" s="62" customFormat="1" ht="35.1" customHeight="1">
      <c r="A202" s="63"/>
      <c r="B202" s="163"/>
      <c r="C202" s="64"/>
      <c r="D202" s="65"/>
      <c r="E202" s="65"/>
      <c r="F202" s="65"/>
      <c r="G202" s="65"/>
      <c r="H202" s="65"/>
      <c r="I202" s="65"/>
      <c r="J202" s="44"/>
      <c r="K202" s="44"/>
      <c r="L202" s="44"/>
      <c r="M202" s="17"/>
      <c r="N202" s="60"/>
      <c r="O202" s="60" t="str">
        <f t="shared" si="10"/>
        <v/>
      </c>
      <c r="P202" s="61" t="str">
        <f t="shared" si="12"/>
        <v>-</v>
      </c>
      <c r="Q202" s="61"/>
      <c r="R202" s="61"/>
      <c r="S202" s="61"/>
      <c r="T202" s="61"/>
      <c r="U202" s="61"/>
    </row>
    <row r="203" spans="1:77" s="62" customFormat="1" ht="35.1" customHeight="1">
      <c r="A203" s="63"/>
      <c r="B203" s="163"/>
      <c r="C203" s="64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60"/>
      <c r="O203" s="60" t="str">
        <f t="shared" si="10"/>
        <v/>
      </c>
      <c r="P203" s="61" t="str">
        <f t="shared" si="12"/>
        <v>-</v>
      </c>
      <c r="Q203" s="61"/>
      <c r="R203" s="61"/>
      <c r="S203" s="61"/>
      <c r="T203" s="61"/>
      <c r="U203" s="61"/>
    </row>
    <row r="204" spans="1:77" s="73" customFormat="1" ht="35.1" customHeight="1">
      <c r="A204" s="66" t="s">
        <v>41</v>
      </c>
      <c r="B204" s="67"/>
      <c r="C204" s="67"/>
      <c r="D204" s="68"/>
      <c r="E204" s="69"/>
      <c r="F204" s="69"/>
      <c r="G204" s="69">
        <f>SUM(G184:G203)</f>
        <v>0</v>
      </c>
      <c r="H204" s="70"/>
      <c r="I204" s="70"/>
      <c r="J204" s="70"/>
      <c r="K204" s="70"/>
      <c r="L204" s="70"/>
      <c r="M204" s="71"/>
      <c r="N204" s="60"/>
      <c r="O204" s="60" t="str">
        <f t="shared" si="10"/>
        <v/>
      </c>
      <c r="P204" s="61"/>
      <c r="Q204" s="61"/>
      <c r="R204" s="61"/>
      <c r="S204" s="61"/>
      <c r="T204" s="61"/>
      <c r="U204" s="61"/>
      <c r="V204" s="72"/>
      <c r="W204" s="72"/>
      <c r="X204" s="72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72"/>
      <c r="AT204" s="72"/>
      <c r="AU204" s="72"/>
      <c r="AV204" s="72"/>
      <c r="AW204" s="72"/>
      <c r="AX204" s="72"/>
      <c r="AY204" s="72"/>
      <c r="AZ204" s="72"/>
      <c r="BA204" s="72"/>
      <c r="BB204" s="72"/>
      <c r="BC204" s="72"/>
      <c r="BD204" s="72"/>
      <c r="BE204" s="72"/>
      <c r="BF204" s="72"/>
      <c r="BG204" s="72"/>
      <c r="BH204" s="72"/>
      <c r="BI204" s="72"/>
      <c r="BJ204" s="72"/>
      <c r="BK204" s="72"/>
      <c r="BL204" s="72"/>
      <c r="BM204" s="72"/>
      <c r="BN204" s="72"/>
      <c r="BO204" s="72"/>
      <c r="BP204" s="72"/>
      <c r="BQ204" s="72"/>
      <c r="BR204" s="72"/>
      <c r="BS204" s="72"/>
      <c r="BT204" s="72"/>
      <c r="BU204" s="72"/>
      <c r="BV204" s="72"/>
      <c r="BW204" s="72"/>
      <c r="BX204" s="72"/>
      <c r="BY204" s="72"/>
    </row>
    <row r="205" spans="1:77" s="62" customFormat="1" ht="35.1" customHeight="1">
      <c r="A205" s="58"/>
      <c r="B205" s="161"/>
      <c r="C205" s="82"/>
      <c r="D205" s="59"/>
      <c r="E205" s="59"/>
      <c r="F205" s="59"/>
      <c r="G205" s="59"/>
      <c r="H205" s="59"/>
      <c r="I205" s="59"/>
      <c r="J205" s="43"/>
      <c r="K205" s="43"/>
      <c r="L205" s="43"/>
      <c r="M205" s="16"/>
      <c r="N205" s="60"/>
      <c r="O205" s="60" t="str">
        <f t="shared" si="10"/>
        <v/>
      </c>
      <c r="P205" s="61" t="str">
        <f t="shared" ref="P205:P224" si="13">IF(E205&gt;=G205,"-","err")</f>
        <v>-</v>
      </c>
      <c r="Q205" s="61"/>
      <c r="R205" s="61"/>
      <c r="S205" s="61"/>
      <c r="T205" s="61"/>
      <c r="U205" s="61"/>
    </row>
    <row r="206" spans="1:77" s="62" customFormat="1" ht="35.1" customHeight="1">
      <c r="A206" s="92"/>
      <c r="B206" s="162"/>
      <c r="C206" s="96"/>
      <c r="D206" s="93"/>
      <c r="E206" s="93"/>
      <c r="F206" s="93"/>
      <c r="G206" s="93"/>
      <c r="H206" s="93"/>
      <c r="I206" s="93"/>
      <c r="J206" s="94"/>
      <c r="K206" s="94"/>
      <c r="L206" s="94"/>
      <c r="M206" s="95"/>
      <c r="N206" s="60"/>
      <c r="O206" s="60" t="str">
        <f t="shared" si="10"/>
        <v/>
      </c>
      <c r="P206" s="61" t="str">
        <f t="shared" si="13"/>
        <v>-</v>
      </c>
      <c r="Q206" s="61"/>
      <c r="R206" s="61"/>
      <c r="S206" s="61"/>
      <c r="T206" s="61"/>
      <c r="U206" s="61"/>
    </row>
    <row r="207" spans="1:77" s="62" customFormat="1" ht="35.1" customHeight="1">
      <c r="A207" s="63"/>
      <c r="B207" s="163"/>
      <c r="C207" s="83"/>
      <c r="D207" s="65"/>
      <c r="E207" s="65"/>
      <c r="F207" s="65"/>
      <c r="G207" s="65"/>
      <c r="H207" s="65"/>
      <c r="I207" s="65"/>
      <c r="J207" s="44"/>
      <c r="K207" s="44">
        <v>0</v>
      </c>
      <c r="L207" s="44">
        <v>0</v>
      </c>
      <c r="M207" s="17"/>
      <c r="N207" s="60"/>
      <c r="O207" s="60" t="str">
        <f t="shared" si="10"/>
        <v/>
      </c>
      <c r="P207" s="61" t="str">
        <f t="shared" si="13"/>
        <v>-</v>
      </c>
      <c r="Q207" s="61"/>
      <c r="R207" s="61"/>
      <c r="S207" s="61"/>
      <c r="T207" s="61"/>
      <c r="U207" s="61"/>
    </row>
    <row r="208" spans="1:77" s="62" customFormat="1" ht="35.1" customHeight="1">
      <c r="A208" s="63"/>
      <c r="B208" s="163"/>
      <c r="C208" s="84"/>
      <c r="D208" s="65"/>
      <c r="E208" s="65"/>
      <c r="F208" s="65"/>
      <c r="G208" s="65"/>
      <c r="H208" s="65"/>
      <c r="I208" s="65"/>
      <c r="J208" s="44"/>
      <c r="K208" s="44">
        <v>0</v>
      </c>
      <c r="L208" s="44">
        <v>0</v>
      </c>
      <c r="M208" s="17"/>
      <c r="N208" s="60"/>
      <c r="O208" s="60" t="str">
        <f t="shared" si="10"/>
        <v/>
      </c>
      <c r="P208" s="61" t="str">
        <f t="shared" si="13"/>
        <v>-</v>
      </c>
      <c r="Q208" s="61"/>
      <c r="R208" s="61"/>
      <c r="S208" s="61"/>
      <c r="T208" s="61"/>
      <c r="U208" s="61"/>
    </row>
    <row r="209" spans="1:21" s="62" customFormat="1" ht="35.1" customHeight="1">
      <c r="A209" s="63"/>
      <c r="B209" s="163"/>
      <c r="C209" s="89"/>
      <c r="D209" s="65"/>
      <c r="E209" s="65"/>
      <c r="F209" s="65"/>
      <c r="G209" s="65"/>
      <c r="H209" s="65"/>
      <c r="I209" s="65"/>
      <c r="J209" s="44"/>
      <c r="K209" s="44">
        <v>0</v>
      </c>
      <c r="L209" s="44">
        <v>0</v>
      </c>
      <c r="M209" s="17"/>
      <c r="N209" s="60"/>
      <c r="O209" s="60" t="str">
        <f t="shared" si="10"/>
        <v/>
      </c>
      <c r="P209" s="61" t="str">
        <f t="shared" si="13"/>
        <v>-</v>
      </c>
      <c r="Q209" s="61"/>
      <c r="R209" s="61"/>
      <c r="S209" s="61"/>
      <c r="T209" s="61"/>
      <c r="U209" s="61"/>
    </row>
    <row r="210" spans="1:21" s="62" customFormat="1" ht="35.1" customHeight="1">
      <c r="A210" s="63"/>
      <c r="B210" s="163"/>
      <c r="C210" s="89"/>
      <c r="D210" s="65"/>
      <c r="E210" s="65"/>
      <c r="F210" s="65"/>
      <c r="G210" s="65"/>
      <c r="H210" s="65"/>
      <c r="I210" s="65"/>
      <c r="J210" s="44"/>
      <c r="K210" s="44">
        <v>0</v>
      </c>
      <c r="L210" s="44">
        <v>0</v>
      </c>
      <c r="M210" s="17"/>
      <c r="N210" s="60"/>
      <c r="O210" s="60" t="str">
        <f t="shared" si="10"/>
        <v/>
      </c>
      <c r="P210" s="61" t="str">
        <f t="shared" si="13"/>
        <v>-</v>
      </c>
      <c r="Q210" s="61"/>
      <c r="R210" s="61"/>
      <c r="S210" s="61"/>
      <c r="T210" s="61"/>
      <c r="U210" s="61"/>
    </row>
    <row r="211" spans="1:21" s="62" customFormat="1" ht="35.1" customHeight="1">
      <c r="A211" s="63"/>
      <c r="B211" s="163"/>
      <c r="C211" s="89"/>
      <c r="D211" s="65"/>
      <c r="E211" s="65"/>
      <c r="F211" s="65"/>
      <c r="G211" s="65"/>
      <c r="H211" s="65"/>
      <c r="I211" s="65"/>
      <c r="J211" s="44"/>
      <c r="K211" s="44">
        <v>0</v>
      </c>
      <c r="L211" s="44">
        <v>0</v>
      </c>
      <c r="M211" s="17"/>
      <c r="N211" s="60"/>
      <c r="O211" s="60" t="str">
        <f t="shared" si="10"/>
        <v/>
      </c>
      <c r="P211" s="61" t="str">
        <f t="shared" si="13"/>
        <v>-</v>
      </c>
      <c r="Q211" s="61"/>
      <c r="R211" s="61"/>
      <c r="S211" s="61"/>
      <c r="T211" s="61"/>
      <c r="U211" s="61"/>
    </row>
    <row r="212" spans="1:21" s="62" customFormat="1" ht="35.1" customHeight="1">
      <c r="A212" s="63"/>
      <c r="B212" s="163"/>
      <c r="C212" s="89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60"/>
      <c r="O212" s="60" t="str">
        <f t="shared" ref="O212:O267" si="14">CONCATENATE(D212,H212)</f>
        <v/>
      </c>
      <c r="P212" s="61" t="str">
        <f t="shared" si="13"/>
        <v>-</v>
      </c>
      <c r="Q212" s="61"/>
      <c r="R212" s="61"/>
      <c r="S212" s="61"/>
      <c r="T212" s="61"/>
      <c r="U212" s="61"/>
    </row>
    <row r="213" spans="1:21" s="62" customFormat="1" ht="35.1" customHeight="1">
      <c r="A213" s="63"/>
      <c r="B213" s="163"/>
      <c r="C213" s="89"/>
      <c r="D213" s="65"/>
      <c r="E213" s="65"/>
      <c r="F213" s="65"/>
      <c r="G213" s="65"/>
      <c r="H213" s="65"/>
      <c r="I213" s="65"/>
      <c r="J213" s="44"/>
      <c r="K213" s="44">
        <v>0</v>
      </c>
      <c r="L213" s="44">
        <v>0</v>
      </c>
      <c r="M213" s="17"/>
      <c r="N213" s="60"/>
      <c r="O213" s="60" t="str">
        <f t="shared" si="14"/>
        <v/>
      </c>
      <c r="P213" s="61" t="str">
        <f t="shared" si="13"/>
        <v>-</v>
      </c>
      <c r="Q213" s="61"/>
      <c r="R213" s="61"/>
      <c r="S213" s="61"/>
      <c r="T213" s="61"/>
      <c r="U213" s="61"/>
    </row>
    <row r="214" spans="1:21" s="62" customFormat="1" ht="35.1" customHeight="1">
      <c r="A214" s="63"/>
      <c r="B214" s="163"/>
      <c r="C214" s="89"/>
      <c r="D214" s="65"/>
      <c r="E214" s="65"/>
      <c r="F214" s="65"/>
      <c r="G214" s="65"/>
      <c r="H214" s="65"/>
      <c r="I214" s="65"/>
      <c r="J214" s="44"/>
      <c r="K214" s="44">
        <v>0</v>
      </c>
      <c r="L214" s="44">
        <v>0</v>
      </c>
      <c r="M214" s="17"/>
      <c r="N214" s="60"/>
      <c r="O214" s="60" t="str">
        <f t="shared" si="14"/>
        <v/>
      </c>
      <c r="P214" s="61" t="str">
        <f t="shared" si="13"/>
        <v>-</v>
      </c>
      <c r="Q214" s="61"/>
      <c r="R214" s="61"/>
      <c r="S214" s="61"/>
      <c r="T214" s="61"/>
      <c r="U214" s="61"/>
    </row>
    <row r="215" spans="1:21" s="62" customFormat="1" ht="35.1" customHeight="1">
      <c r="A215" s="63"/>
      <c r="B215" s="163"/>
      <c r="C215" s="89"/>
      <c r="D215" s="65"/>
      <c r="E215" s="65"/>
      <c r="F215" s="65"/>
      <c r="G215" s="65"/>
      <c r="H215" s="65"/>
      <c r="I215" s="65"/>
      <c r="J215" s="44"/>
      <c r="K215" s="44">
        <v>0</v>
      </c>
      <c r="L215" s="44">
        <v>0</v>
      </c>
      <c r="M215" s="17"/>
      <c r="N215" s="60"/>
      <c r="O215" s="60" t="str">
        <f t="shared" si="14"/>
        <v/>
      </c>
      <c r="P215" s="61" t="str">
        <f t="shared" si="13"/>
        <v>-</v>
      </c>
      <c r="Q215" s="61"/>
      <c r="R215" s="61"/>
      <c r="S215" s="61"/>
      <c r="T215" s="61"/>
      <c r="U215" s="61"/>
    </row>
    <row r="216" spans="1:21" s="62" customFormat="1" ht="35.1" customHeight="1">
      <c r="A216" s="63"/>
      <c r="B216" s="163"/>
      <c r="C216" s="64"/>
      <c r="D216" s="65"/>
      <c r="E216" s="65"/>
      <c r="F216" s="65"/>
      <c r="G216" s="65"/>
      <c r="H216" s="65"/>
      <c r="I216" s="65"/>
      <c r="J216" s="44"/>
      <c r="K216" s="44"/>
      <c r="L216" s="44"/>
      <c r="M216" s="17"/>
      <c r="N216" s="60"/>
      <c r="O216" s="60" t="str">
        <f t="shared" si="14"/>
        <v/>
      </c>
      <c r="P216" s="61" t="str">
        <f t="shared" si="13"/>
        <v>-</v>
      </c>
      <c r="Q216" s="61"/>
      <c r="R216" s="61"/>
      <c r="S216" s="61"/>
      <c r="T216" s="61"/>
      <c r="U216" s="61"/>
    </row>
    <row r="217" spans="1:21" s="62" customFormat="1" ht="35.1" customHeight="1">
      <c r="A217" s="63"/>
      <c r="B217" s="163"/>
      <c r="C217" s="64"/>
      <c r="D217" s="65"/>
      <c r="E217" s="65"/>
      <c r="F217" s="65"/>
      <c r="G217" s="65"/>
      <c r="H217" s="65"/>
      <c r="I217" s="65"/>
      <c r="J217" s="44"/>
      <c r="K217" s="44"/>
      <c r="L217" s="44"/>
      <c r="M217" s="17"/>
      <c r="N217" s="60"/>
      <c r="O217" s="60" t="str">
        <f t="shared" si="14"/>
        <v/>
      </c>
      <c r="P217" s="61" t="str">
        <f t="shared" si="13"/>
        <v>-</v>
      </c>
      <c r="Q217" s="61"/>
      <c r="R217" s="61"/>
      <c r="S217" s="61"/>
      <c r="T217" s="61"/>
      <c r="U217" s="61"/>
    </row>
    <row r="218" spans="1:21" s="62" customFormat="1" ht="35.1" customHeight="1">
      <c r="A218" s="63"/>
      <c r="B218" s="163"/>
      <c r="C218" s="64"/>
      <c r="D218" s="65"/>
      <c r="E218" s="65"/>
      <c r="F218" s="65"/>
      <c r="G218" s="65"/>
      <c r="H218" s="65"/>
      <c r="I218" s="65"/>
      <c r="J218" s="44"/>
      <c r="K218" s="44"/>
      <c r="L218" s="44"/>
      <c r="M218" s="17"/>
      <c r="N218" s="60"/>
      <c r="O218" s="60" t="str">
        <f t="shared" si="14"/>
        <v/>
      </c>
      <c r="P218" s="61" t="str">
        <f t="shared" si="13"/>
        <v>-</v>
      </c>
      <c r="Q218" s="61"/>
      <c r="R218" s="61"/>
      <c r="S218" s="61"/>
      <c r="T218" s="61"/>
      <c r="U218" s="61"/>
    </row>
    <row r="219" spans="1:21" s="62" customFormat="1" ht="35.1" customHeight="1">
      <c r="A219" s="63"/>
      <c r="B219" s="163"/>
      <c r="C219" s="64"/>
      <c r="D219" s="65"/>
      <c r="E219" s="65"/>
      <c r="F219" s="65"/>
      <c r="G219" s="65"/>
      <c r="H219" s="65"/>
      <c r="I219" s="65"/>
      <c r="J219" s="44"/>
      <c r="K219" s="44"/>
      <c r="L219" s="44"/>
      <c r="M219" s="17"/>
      <c r="N219" s="60"/>
      <c r="O219" s="60" t="str">
        <f t="shared" si="14"/>
        <v/>
      </c>
      <c r="P219" s="61" t="str">
        <f t="shared" si="13"/>
        <v>-</v>
      </c>
      <c r="Q219" s="61"/>
      <c r="R219" s="61"/>
      <c r="S219" s="61"/>
      <c r="T219" s="61"/>
      <c r="U219" s="61"/>
    </row>
    <row r="220" spans="1:21" s="62" customFormat="1" ht="35.1" customHeight="1">
      <c r="A220" s="63"/>
      <c r="B220" s="163"/>
      <c r="C220" s="64"/>
      <c r="D220" s="65"/>
      <c r="E220" s="65"/>
      <c r="F220" s="65"/>
      <c r="G220" s="65"/>
      <c r="H220" s="65"/>
      <c r="I220" s="65"/>
      <c r="J220" s="44"/>
      <c r="K220" s="44"/>
      <c r="L220" s="44"/>
      <c r="M220" s="17"/>
      <c r="N220" s="60"/>
      <c r="O220" s="60" t="str">
        <f t="shared" si="14"/>
        <v/>
      </c>
      <c r="P220" s="61" t="str">
        <f t="shared" si="13"/>
        <v>-</v>
      </c>
      <c r="Q220" s="61"/>
      <c r="R220" s="61"/>
      <c r="S220" s="61"/>
      <c r="T220" s="61"/>
      <c r="U220" s="61"/>
    </row>
    <row r="221" spans="1:21" s="62" customFormat="1" ht="35.1" customHeight="1">
      <c r="A221" s="63"/>
      <c r="B221" s="163"/>
      <c r="C221" s="64"/>
      <c r="D221" s="65"/>
      <c r="E221" s="65"/>
      <c r="F221" s="65"/>
      <c r="G221" s="65"/>
      <c r="H221" s="65"/>
      <c r="I221" s="65"/>
      <c r="J221" s="44"/>
      <c r="K221" s="44"/>
      <c r="L221" s="44"/>
      <c r="M221" s="17"/>
      <c r="N221" s="60"/>
      <c r="O221" s="60" t="str">
        <f t="shared" si="14"/>
        <v/>
      </c>
      <c r="P221" s="61" t="str">
        <f t="shared" si="13"/>
        <v>-</v>
      </c>
      <c r="Q221" s="61"/>
      <c r="R221" s="61"/>
      <c r="S221" s="61"/>
      <c r="T221" s="61"/>
      <c r="U221" s="61"/>
    </row>
    <row r="222" spans="1:21" s="62" customFormat="1" ht="35.1" customHeight="1">
      <c r="A222" s="63"/>
      <c r="B222" s="163"/>
      <c r="C222" s="64"/>
      <c r="D222" s="65"/>
      <c r="E222" s="65"/>
      <c r="F222" s="65"/>
      <c r="G222" s="65"/>
      <c r="H222" s="65"/>
      <c r="I222" s="65"/>
      <c r="J222" s="44"/>
      <c r="K222" s="44"/>
      <c r="L222" s="44"/>
      <c r="M222" s="17"/>
      <c r="N222" s="60"/>
      <c r="O222" s="60" t="str">
        <f t="shared" si="14"/>
        <v/>
      </c>
      <c r="P222" s="61" t="str">
        <f t="shared" si="13"/>
        <v>-</v>
      </c>
      <c r="Q222" s="61"/>
      <c r="R222" s="61"/>
      <c r="S222" s="61"/>
      <c r="T222" s="61"/>
      <c r="U222" s="61"/>
    </row>
    <row r="223" spans="1:21" s="62" customFormat="1" ht="35.1" customHeight="1">
      <c r="A223" s="63"/>
      <c r="B223" s="163"/>
      <c r="C223" s="64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60"/>
      <c r="O223" s="60" t="str">
        <f t="shared" si="14"/>
        <v/>
      </c>
      <c r="P223" s="61" t="str">
        <f t="shared" si="13"/>
        <v>-</v>
      </c>
      <c r="Q223" s="61"/>
      <c r="R223" s="61"/>
      <c r="S223" s="61"/>
      <c r="T223" s="61"/>
      <c r="U223" s="61"/>
    </row>
    <row r="224" spans="1:21" s="62" customFormat="1" ht="35.1" customHeight="1">
      <c r="A224" s="63"/>
      <c r="B224" s="163"/>
      <c r="C224" s="64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60"/>
      <c r="O224" s="60" t="str">
        <f t="shared" si="14"/>
        <v/>
      </c>
      <c r="P224" s="61" t="str">
        <f t="shared" si="13"/>
        <v>-</v>
      </c>
      <c r="Q224" s="61"/>
      <c r="R224" s="61"/>
      <c r="S224" s="61"/>
      <c r="T224" s="61"/>
      <c r="U224" s="61"/>
    </row>
    <row r="225" spans="1:77" s="73" customFormat="1" ht="35.1" customHeight="1">
      <c r="A225" s="66" t="s">
        <v>41</v>
      </c>
      <c r="B225" s="67"/>
      <c r="C225" s="67"/>
      <c r="D225" s="68"/>
      <c r="E225" s="69"/>
      <c r="F225" s="69"/>
      <c r="G225" s="69">
        <f>SUM(G205:G224)</f>
        <v>0</v>
      </c>
      <c r="H225" s="70"/>
      <c r="I225" s="70"/>
      <c r="J225" s="70"/>
      <c r="K225" s="70"/>
      <c r="L225" s="70"/>
      <c r="M225" s="71"/>
      <c r="N225" s="60"/>
      <c r="O225" s="60" t="str">
        <f t="shared" si="14"/>
        <v/>
      </c>
      <c r="P225" s="61"/>
      <c r="Q225" s="61"/>
      <c r="R225" s="61"/>
      <c r="S225" s="61"/>
      <c r="T225" s="61"/>
      <c r="U225" s="61"/>
      <c r="V225" s="72"/>
      <c r="W225" s="72"/>
      <c r="X225" s="72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2"/>
      <c r="BY225" s="72"/>
    </row>
    <row r="226" spans="1:77" s="62" customFormat="1" ht="35.1" customHeight="1">
      <c r="A226" s="58"/>
      <c r="B226" s="161"/>
      <c r="C226" s="82"/>
      <c r="D226" s="59"/>
      <c r="E226" s="59"/>
      <c r="F226" s="59"/>
      <c r="G226" s="59"/>
      <c r="H226" s="59"/>
      <c r="I226" s="59"/>
      <c r="J226" s="43"/>
      <c r="K226" s="43"/>
      <c r="L226" s="43"/>
      <c r="M226" s="16"/>
      <c r="N226" s="60"/>
      <c r="O226" s="60" t="str">
        <f t="shared" si="14"/>
        <v/>
      </c>
      <c r="P226" s="61" t="str">
        <f t="shared" ref="P226:P245" si="15">IF(E226&gt;=G226,"-","err")</f>
        <v>-</v>
      </c>
      <c r="Q226" s="61"/>
      <c r="R226" s="61"/>
      <c r="S226" s="61"/>
      <c r="T226" s="61"/>
      <c r="U226" s="61"/>
    </row>
    <row r="227" spans="1:77" s="62" customFormat="1" ht="35.1" customHeight="1">
      <c r="A227" s="92"/>
      <c r="B227" s="162"/>
      <c r="C227" s="96"/>
      <c r="D227" s="93"/>
      <c r="E227" s="93"/>
      <c r="F227" s="93"/>
      <c r="G227" s="93"/>
      <c r="H227" s="93"/>
      <c r="I227" s="93"/>
      <c r="J227" s="94"/>
      <c r="K227" s="94"/>
      <c r="L227" s="94"/>
      <c r="M227" s="95"/>
      <c r="N227" s="60"/>
      <c r="O227" s="60" t="str">
        <f t="shared" si="14"/>
        <v/>
      </c>
      <c r="P227" s="61" t="str">
        <f t="shared" si="15"/>
        <v>-</v>
      </c>
      <c r="Q227" s="61"/>
      <c r="R227" s="61"/>
      <c r="S227" s="61"/>
      <c r="T227" s="61"/>
      <c r="U227" s="61"/>
    </row>
    <row r="228" spans="1:77" s="62" customFormat="1" ht="35.1" customHeight="1">
      <c r="A228" s="63"/>
      <c r="B228" s="163"/>
      <c r="C228" s="83"/>
      <c r="D228" s="65"/>
      <c r="E228" s="65"/>
      <c r="F228" s="65"/>
      <c r="G228" s="65"/>
      <c r="H228" s="65"/>
      <c r="I228" s="65"/>
      <c r="J228" s="44">
        <v>0</v>
      </c>
      <c r="K228" s="44">
        <v>0</v>
      </c>
      <c r="L228" s="44">
        <v>0</v>
      </c>
      <c r="M228" s="17"/>
      <c r="N228" s="60"/>
      <c r="O228" s="60" t="str">
        <f t="shared" si="14"/>
        <v/>
      </c>
      <c r="P228" s="61" t="str">
        <f t="shared" si="15"/>
        <v>-</v>
      </c>
      <c r="Q228" s="61"/>
      <c r="R228" s="61"/>
      <c r="S228" s="61"/>
      <c r="T228" s="61"/>
      <c r="U228" s="61"/>
    </row>
    <row r="229" spans="1:77" s="62" customFormat="1" ht="35.1" customHeight="1">
      <c r="A229" s="63"/>
      <c r="B229" s="163"/>
      <c r="C229" s="84"/>
      <c r="D229" s="65"/>
      <c r="E229" s="65"/>
      <c r="F229" s="65"/>
      <c r="G229" s="65"/>
      <c r="H229" s="65"/>
      <c r="I229" s="65"/>
      <c r="J229" s="44">
        <v>0</v>
      </c>
      <c r="K229" s="44">
        <v>0</v>
      </c>
      <c r="L229" s="44">
        <v>0</v>
      </c>
      <c r="M229" s="17"/>
      <c r="N229" s="60"/>
      <c r="O229" s="60" t="str">
        <f t="shared" si="14"/>
        <v/>
      </c>
      <c r="P229" s="61" t="str">
        <f t="shared" si="15"/>
        <v>-</v>
      </c>
      <c r="Q229" s="61"/>
      <c r="R229" s="61"/>
      <c r="S229" s="61"/>
      <c r="T229" s="61"/>
      <c r="U229" s="61"/>
    </row>
    <row r="230" spans="1:77" s="62" customFormat="1" ht="35.1" customHeight="1">
      <c r="A230" s="63"/>
      <c r="B230" s="163"/>
      <c r="C230" s="89"/>
      <c r="D230" s="65"/>
      <c r="E230" s="65"/>
      <c r="F230" s="65"/>
      <c r="G230" s="65"/>
      <c r="H230" s="65"/>
      <c r="I230" s="65"/>
      <c r="J230" s="44">
        <v>0</v>
      </c>
      <c r="K230" s="44">
        <v>0</v>
      </c>
      <c r="L230" s="44">
        <v>0</v>
      </c>
      <c r="M230" s="17"/>
      <c r="N230" s="60"/>
      <c r="O230" s="60" t="str">
        <f t="shared" si="14"/>
        <v/>
      </c>
      <c r="P230" s="61" t="str">
        <f t="shared" si="15"/>
        <v>-</v>
      </c>
      <c r="Q230" s="61"/>
      <c r="R230" s="61"/>
      <c r="S230" s="61"/>
      <c r="T230" s="61"/>
      <c r="U230" s="61"/>
    </row>
    <row r="231" spans="1:77" s="62" customFormat="1" ht="35.1" customHeight="1">
      <c r="A231" s="63"/>
      <c r="B231" s="163"/>
      <c r="C231" s="89"/>
      <c r="D231" s="65"/>
      <c r="E231" s="65"/>
      <c r="F231" s="65"/>
      <c r="G231" s="65"/>
      <c r="H231" s="65"/>
      <c r="I231" s="65"/>
      <c r="J231" s="44">
        <v>0</v>
      </c>
      <c r="K231" s="44">
        <v>0</v>
      </c>
      <c r="L231" s="44">
        <v>0</v>
      </c>
      <c r="M231" s="17"/>
      <c r="N231" s="60"/>
      <c r="O231" s="60" t="str">
        <f t="shared" si="14"/>
        <v/>
      </c>
      <c r="P231" s="61" t="str">
        <f t="shared" si="15"/>
        <v>-</v>
      </c>
      <c r="Q231" s="61"/>
      <c r="R231" s="61"/>
      <c r="S231" s="61"/>
      <c r="T231" s="61"/>
      <c r="U231" s="61"/>
    </row>
    <row r="232" spans="1:77" s="62" customFormat="1" ht="35.1" customHeight="1">
      <c r="A232" s="63"/>
      <c r="B232" s="163"/>
      <c r="C232" s="89"/>
      <c r="D232" s="65"/>
      <c r="E232" s="65"/>
      <c r="F232" s="65"/>
      <c r="G232" s="65"/>
      <c r="H232" s="65"/>
      <c r="I232" s="65"/>
      <c r="J232" s="44"/>
      <c r="K232" s="44"/>
      <c r="L232" s="44"/>
      <c r="M232" s="17"/>
      <c r="N232" s="60"/>
      <c r="O232" s="60" t="str">
        <f t="shared" si="14"/>
        <v/>
      </c>
      <c r="P232" s="61" t="str">
        <f t="shared" si="15"/>
        <v>-</v>
      </c>
      <c r="Q232" s="61"/>
      <c r="R232" s="61"/>
      <c r="S232" s="61"/>
      <c r="T232" s="61"/>
      <c r="U232" s="61"/>
    </row>
    <row r="233" spans="1:77" s="62" customFormat="1" ht="35.1" customHeight="1">
      <c r="A233" s="63"/>
      <c r="B233" s="163"/>
      <c r="C233" s="89"/>
      <c r="D233" s="65"/>
      <c r="E233" s="65"/>
      <c r="F233" s="65"/>
      <c r="G233" s="65"/>
      <c r="H233" s="65"/>
      <c r="I233" s="65"/>
      <c r="J233" s="44"/>
      <c r="K233" s="44"/>
      <c r="L233" s="44"/>
      <c r="M233" s="17"/>
      <c r="N233" s="60"/>
      <c r="O233" s="60" t="str">
        <f t="shared" si="14"/>
        <v/>
      </c>
      <c r="P233" s="61" t="str">
        <f t="shared" si="15"/>
        <v>-</v>
      </c>
      <c r="Q233" s="61"/>
      <c r="R233" s="61"/>
      <c r="S233" s="61"/>
      <c r="T233" s="61"/>
      <c r="U233" s="61"/>
    </row>
    <row r="234" spans="1:77" s="62" customFormat="1" ht="35.1" customHeight="1">
      <c r="A234" s="63"/>
      <c r="B234" s="163"/>
      <c r="C234" s="89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60"/>
      <c r="O234" s="60" t="str">
        <f t="shared" si="14"/>
        <v/>
      </c>
      <c r="P234" s="61" t="str">
        <f t="shared" si="15"/>
        <v>-</v>
      </c>
      <c r="Q234" s="61"/>
      <c r="R234" s="61"/>
      <c r="S234" s="61"/>
      <c r="T234" s="61"/>
      <c r="U234" s="61"/>
    </row>
    <row r="235" spans="1:77" s="62" customFormat="1" ht="35.1" customHeight="1">
      <c r="A235" s="63"/>
      <c r="B235" s="163"/>
      <c r="C235" s="89"/>
      <c r="D235" s="65"/>
      <c r="E235" s="65"/>
      <c r="F235" s="65"/>
      <c r="G235" s="65"/>
      <c r="H235" s="65"/>
      <c r="I235" s="65"/>
      <c r="J235" s="44">
        <v>0</v>
      </c>
      <c r="K235" s="44">
        <v>0</v>
      </c>
      <c r="L235" s="44">
        <v>0</v>
      </c>
      <c r="M235" s="17"/>
      <c r="N235" s="60"/>
      <c r="O235" s="60" t="str">
        <f t="shared" si="14"/>
        <v/>
      </c>
      <c r="P235" s="61" t="str">
        <f t="shared" si="15"/>
        <v>-</v>
      </c>
      <c r="Q235" s="61"/>
      <c r="R235" s="61"/>
      <c r="S235" s="61"/>
      <c r="T235" s="61"/>
      <c r="U235" s="61"/>
    </row>
    <row r="236" spans="1:77" s="62" customFormat="1" ht="35.1" customHeight="1">
      <c r="A236" s="63"/>
      <c r="B236" s="163"/>
      <c r="C236" s="89"/>
      <c r="D236" s="65"/>
      <c r="E236" s="65"/>
      <c r="F236" s="65"/>
      <c r="G236" s="65"/>
      <c r="H236" s="65"/>
      <c r="I236" s="65"/>
      <c r="J236" s="44">
        <v>0</v>
      </c>
      <c r="K236" s="44">
        <v>0</v>
      </c>
      <c r="L236" s="44">
        <v>0</v>
      </c>
      <c r="M236" s="17"/>
      <c r="N236" s="60"/>
      <c r="O236" s="60" t="str">
        <f t="shared" si="14"/>
        <v/>
      </c>
      <c r="P236" s="61" t="str">
        <f t="shared" si="15"/>
        <v>-</v>
      </c>
      <c r="Q236" s="61"/>
      <c r="R236" s="61"/>
      <c r="S236" s="61"/>
      <c r="T236" s="61"/>
      <c r="U236" s="61"/>
    </row>
    <row r="237" spans="1:77" s="62" customFormat="1" ht="35.1" customHeight="1">
      <c r="A237" s="63"/>
      <c r="B237" s="163"/>
      <c r="C237" s="64"/>
      <c r="D237" s="65"/>
      <c r="E237" s="65"/>
      <c r="F237" s="65"/>
      <c r="G237" s="65"/>
      <c r="H237" s="65"/>
      <c r="I237" s="65"/>
      <c r="J237" s="44"/>
      <c r="K237" s="44"/>
      <c r="L237" s="44"/>
      <c r="M237" s="17"/>
      <c r="N237" s="60"/>
      <c r="O237" s="60" t="str">
        <f t="shared" si="14"/>
        <v/>
      </c>
      <c r="P237" s="61" t="str">
        <f t="shared" si="15"/>
        <v>-</v>
      </c>
      <c r="Q237" s="61"/>
      <c r="R237" s="61"/>
      <c r="S237" s="61"/>
      <c r="T237" s="61"/>
      <c r="U237" s="61"/>
    </row>
    <row r="238" spans="1:77" s="62" customFormat="1" ht="35.1" customHeight="1">
      <c r="A238" s="63"/>
      <c r="B238" s="163"/>
      <c r="C238" s="64"/>
      <c r="D238" s="65"/>
      <c r="E238" s="65"/>
      <c r="F238" s="65"/>
      <c r="G238" s="65"/>
      <c r="H238" s="65"/>
      <c r="I238" s="65"/>
      <c r="J238" s="44"/>
      <c r="K238" s="44"/>
      <c r="L238" s="44"/>
      <c r="M238" s="17"/>
      <c r="N238" s="60"/>
      <c r="O238" s="60" t="str">
        <f t="shared" si="14"/>
        <v/>
      </c>
      <c r="P238" s="61" t="str">
        <f t="shared" si="15"/>
        <v>-</v>
      </c>
      <c r="Q238" s="61"/>
      <c r="R238" s="61"/>
      <c r="S238" s="61"/>
      <c r="T238" s="61"/>
      <c r="U238" s="61"/>
    </row>
    <row r="239" spans="1:77" s="62" customFormat="1" ht="35.1" customHeight="1">
      <c r="A239" s="63"/>
      <c r="B239" s="163"/>
      <c r="C239" s="64"/>
      <c r="D239" s="65"/>
      <c r="E239" s="65"/>
      <c r="F239" s="65"/>
      <c r="G239" s="65"/>
      <c r="H239" s="65"/>
      <c r="I239" s="65"/>
      <c r="J239" s="44"/>
      <c r="K239" s="44"/>
      <c r="L239" s="44"/>
      <c r="M239" s="17"/>
      <c r="N239" s="60"/>
      <c r="O239" s="60" t="str">
        <f t="shared" si="14"/>
        <v/>
      </c>
      <c r="P239" s="61" t="str">
        <f t="shared" si="15"/>
        <v>-</v>
      </c>
      <c r="Q239" s="61"/>
      <c r="R239" s="61"/>
      <c r="S239" s="61"/>
      <c r="T239" s="61"/>
      <c r="U239" s="61"/>
    </row>
    <row r="240" spans="1:77" s="62" customFormat="1" ht="35.1" customHeight="1">
      <c r="A240" s="63"/>
      <c r="B240" s="163"/>
      <c r="C240" s="64"/>
      <c r="D240" s="65"/>
      <c r="E240" s="65"/>
      <c r="F240" s="65"/>
      <c r="G240" s="65"/>
      <c r="H240" s="65"/>
      <c r="I240" s="65"/>
      <c r="J240" s="44"/>
      <c r="K240" s="44"/>
      <c r="L240" s="44"/>
      <c r="M240" s="17"/>
      <c r="N240" s="60"/>
      <c r="O240" s="60" t="str">
        <f t="shared" si="14"/>
        <v/>
      </c>
      <c r="P240" s="61" t="str">
        <f t="shared" si="15"/>
        <v>-</v>
      </c>
      <c r="Q240" s="61"/>
      <c r="R240" s="61"/>
      <c r="S240" s="61"/>
      <c r="T240" s="61"/>
      <c r="U240" s="61"/>
    </row>
    <row r="241" spans="1:77" s="62" customFormat="1" ht="35.1" customHeight="1">
      <c r="A241" s="63"/>
      <c r="B241" s="163"/>
      <c r="C241" s="64"/>
      <c r="D241" s="65"/>
      <c r="E241" s="65"/>
      <c r="F241" s="65"/>
      <c r="G241" s="65"/>
      <c r="H241" s="65"/>
      <c r="I241" s="65"/>
      <c r="J241" s="44"/>
      <c r="K241" s="44"/>
      <c r="L241" s="44"/>
      <c r="M241" s="17"/>
      <c r="N241" s="60"/>
      <c r="O241" s="60" t="str">
        <f t="shared" si="14"/>
        <v/>
      </c>
      <c r="P241" s="61" t="str">
        <f t="shared" si="15"/>
        <v>-</v>
      </c>
      <c r="Q241" s="61"/>
      <c r="R241" s="61"/>
      <c r="S241" s="61"/>
      <c r="T241" s="61"/>
      <c r="U241" s="61"/>
    </row>
    <row r="242" spans="1:77" s="62" customFormat="1" ht="35.1" customHeight="1">
      <c r="A242" s="63"/>
      <c r="B242" s="163"/>
      <c r="C242" s="64"/>
      <c r="D242" s="65"/>
      <c r="E242" s="65"/>
      <c r="F242" s="65"/>
      <c r="G242" s="65"/>
      <c r="H242" s="65"/>
      <c r="I242" s="65"/>
      <c r="J242" s="44"/>
      <c r="K242" s="44"/>
      <c r="L242" s="44"/>
      <c r="M242" s="17"/>
      <c r="N242" s="60"/>
      <c r="O242" s="60" t="str">
        <f t="shared" si="14"/>
        <v/>
      </c>
      <c r="P242" s="61" t="str">
        <f t="shared" si="15"/>
        <v>-</v>
      </c>
      <c r="Q242" s="61"/>
      <c r="R242" s="61"/>
      <c r="S242" s="61"/>
      <c r="T242" s="61"/>
      <c r="U242" s="61"/>
    </row>
    <row r="243" spans="1:77" s="62" customFormat="1" ht="35.1" customHeight="1">
      <c r="A243" s="63"/>
      <c r="B243" s="163"/>
      <c r="C243" s="64"/>
      <c r="D243" s="65"/>
      <c r="E243" s="65"/>
      <c r="F243" s="65"/>
      <c r="G243" s="65"/>
      <c r="H243" s="65"/>
      <c r="I243" s="65"/>
      <c r="J243" s="44"/>
      <c r="K243" s="44"/>
      <c r="L243" s="44"/>
      <c r="M243" s="17"/>
      <c r="N243" s="60"/>
      <c r="O243" s="60" t="str">
        <f t="shared" si="14"/>
        <v/>
      </c>
      <c r="P243" s="61" t="str">
        <f t="shared" si="15"/>
        <v>-</v>
      </c>
      <c r="Q243" s="61"/>
      <c r="R243" s="61"/>
      <c r="S243" s="61"/>
      <c r="T243" s="61"/>
      <c r="U243" s="61"/>
    </row>
    <row r="244" spans="1:77" s="62" customFormat="1" ht="35.1" customHeight="1">
      <c r="A244" s="63"/>
      <c r="B244" s="163"/>
      <c r="C244" s="64"/>
      <c r="D244" s="65"/>
      <c r="E244" s="65"/>
      <c r="F244" s="65"/>
      <c r="G244" s="65"/>
      <c r="H244" s="65"/>
      <c r="I244" s="65"/>
      <c r="J244" s="44"/>
      <c r="K244" s="44"/>
      <c r="L244" s="44"/>
      <c r="M244" s="17"/>
      <c r="N244" s="60"/>
      <c r="O244" s="60" t="str">
        <f t="shared" si="14"/>
        <v/>
      </c>
      <c r="P244" s="61" t="str">
        <f t="shared" si="15"/>
        <v>-</v>
      </c>
      <c r="Q244" s="61"/>
      <c r="R244" s="61"/>
      <c r="S244" s="61"/>
      <c r="T244" s="61"/>
      <c r="U244" s="61"/>
    </row>
    <row r="245" spans="1:77" s="62" customFormat="1" ht="35.1" customHeight="1">
      <c r="A245" s="63"/>
      <c r="B245" s="163"/>
      <c r="C245" s="64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60"/>
      <c r="O245" s="60" t="str">
        <f t="shared" si="14"/>
        <v/>
      </c>
      <c r="P245" s="61" t="str">
        <f t="shared" si="15"/>
        <v>-</v>
      </c>
      <c r="Q245" s="61"/>
      <c r="R245" s="61"/>
      <c r="S245" s="61"/>
      <c r="T245" s="61"/>
      <c r="U245" s="61"/>
    </row>
    <row r="246" spans="1:77" s="73" customFormat="1" ht="35.1" customHeight="1">
      <c r="A246" s="66" t="s">
        <v>41</v>
      </c>
      <c r="B246" s="67"/>
      <c r="C246" s="67"/>
      <c r="D246" s="68"/>
      <c r="E246" s="69"/>
      <c r="F246" s="69"/>
      <c r="G246" s="69">
        <f>SUM(G226:G245)</f>
        <v>0</v>
      </c>
      <c r="H246" s="70"/>
      <c r="I246" s="70"/>
      <c r="J246" s="70"/>
      <c r="K246" s="70"/>
      <c r="L246" s="70"/>
      <c r="M246" s="71"/>
      <c r="N246" s="60"/>
      <c r="O246" s="60" t="str">
        <f t="shared" si="14"/>
        <v/>
      </c>
      <c r="P246" s="61"/>
      <c r="Q246" s="61"/>
      <c r="R246" s="61"/>
      <c r="S246" s="61"/>
      <c r="T246" s="61"/>
      <c r="U246" s="61"/>
      <c r="V246" s="72"/>
      <c r="W246" s="72"/>
      <c r="X246" s="72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2"/>
      <c r="BK246" s="72"/>
      <c r="BL246" s="72"/>
      <c r="BM246" s="72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</row>
    <row r="247" spans="1:77" s="62" customFormat="1" ht="35.1" customHeight="1">
      <c r="A247" s="58"/>
      <c r="B247" s="161"/>
      <c r="C247" s="82"/>
      <c r="D247" s="59"/>
      <c r="E247" s="59"/>
      <c r="F247" s="59"/>
      <c r="G247" s="59"/>
      <c r="H247" s="59"/>
      <c r="I247" s="59"/>
      <c r="J247" s="43"/>
      <c r="K247" s="43"/>
      <c r="L247" s="43"/>
      <c r="M247" s="16"/>
      <c r="N247" s="60"/>
      <c r="O247" s="60" t="str">
        <f t="shared" si="14"/>
        <v/>
      </c>
      <c r="P247" s="61" t="str">
        <f t="shared" ref="P247:P266" si="16">IF(E247&gt;=G247,"-","err")</f>
        <v>-</v>
      </c>
      <c r="Q247" s="61"/>
      <c r="R247" s="61"/>
      <c r="S247" s="61"/>
      <c r="T247" s="61"/>
      <c r="U247" s="61"/>
    </row>
    <row r="248" spans="1:77" s="62" customFormat="1" ht="35.1" customHeight="1">
      <c r="A248" s="92"/>
      <c r="B248" s="162"/>
      <c r="C248" s="96"/>
      <c r="D248" s="93"/>
      <c r="E248" s="93"/>
      <c r="F248" s="93"/>
      <c r="G248" s="93"/>
      <c r="H248" s="93"/>
      <c r="I248" s="93"/>
      <c r="J248" s="94"/>
      <c r="K248" s="94"/>
      <c r="L248" s="94"/>
      <c r="M248" s="95"/>
      <c r="N248" s="60"/>
      <c r="O248" s="60" t="str">
        <f t="shared" si="14"/>
        <v/>
      </c>
      <c r="P248" s="61" t="str">
        <f t="shared" si="16"/>
        <v>-</v>
      </c>
      <c r="Q248" s="61"/>
      <c r="R248" s="61"/>
      <c r="S248" s="61"/>
      <c r="T248" s="61"/>
      <c r="U248" s="61"/>
    </row>
    <row r="249" spans="1:77" s="62" customFormat="1" ht="35.1" customHeight="1">
      <c r="A249" s="63"/>
      <c r="B249" s="163"/>
      <c r="C249" s="83"/>
      <c r="D249" s="65"/>
      <c r="E249" s="65"/>
      <c r="F249" s="65"/>
      <c r="G249" s="65"/>
      <c r="H249" s="65"/>
      <c r="I249" s="65"/>
      <c r="J249" s="44"/>
      <c r="K249" s="44">
        <v>0</v>
      </c>
      <c r="L249" s="44">
        <v>0</v>
      </c>
      <c r="M249" s="17"/>
      <c r="N249" s="60"/>
      <c r="O249" s="60" t="str">
        <f t="shared" si="14"/>
        <v/>
      </c>
      <c r="P249" s="61" t="str">
        <f t="shared" si="16"/>
        <v>-</v>
      </c>
      <c r="Q249" s="61"/>
      <c r="R249" s="61"/>
      <c r="S249" s="61"/>
      <c r="T249" s="61"/>
      <c r="U249" s="61"/>
    </row>
    <row r="250" spans="1:77" s="62" customFormat="1" ht="35.1" customHeight="1">
      <c r="A250" s="63"/>
      <c r="B250" s="163"/>
      <c r="C250" s="84"/>
      <c r="D250" s="65"/>
      <c r="E250" s="65"/>
      <c r="F250" s="65"/>
      <c r="G250" s="65"/>
      <c r="H250" s="65"/>
      <c r="I250" s="65"/>
      <c r="J250" s="44"/>
      <c r="K250" s="44">
        <v>0</v>
      </c>
      <c r="L250" s="44">
        <v>0</v>
      </c>
      <c r="M250" s="17"/>
      <c r="N250" s="60"/>
      <c r="O250" s="60" t="str">
        <f t="shared" si="14"/>
        <v/>
      </c>
      <c r="P250" s="61" t="str">
        <f t="shared" si="16"/>
        <v>-</v>
      </c>
      <c r="Q250" s="61"/>
      <c r="R250" s="61"/>
      <c r="S250" s="61"/>
      <c r="T250" s="61"/>
      <c r="U250" s="61"/>
    </row>
    <row r="251" spans="1:77" s="62" customFormat="1" ht="35.1" customHeight="1">
      <c r="A251" s="63"/>
      <c r="B251" s="163"/>
      <c r="C251" s="89"/>
      <c r="D251" s="65"/>
      <c r="E251" s="65"/>
      <c r="F251" s="65"/>
      <c r="G251" s="65"/>
      <c r="H251" s="65"/>
      <c r="I251" s="65"/>
      <c r="J251" s="44"/>
      <c r="K251" s="44">
        <v>0</v>
      </c>
      <c r="L251" s="44">
        <v>0</v>
      </c>
      <c r="M251" s="17"/>
      <c r="N251" s="60"/>
      <c r="O251" s="60" t="str">
        <f t="shared" si="14"/>
        <v/>
      </c>
      <c r="P251" s="61" t="str">
        <f t="shared" si="16"/>
        <v>-</v>
      </c>
      <c r="Q251" s="61"/>
      <c r="R251" s="61"/>
      <c r="S251" s="61"/>
      <c r="T251" s="61"/>
      <c r="U251" s="61"/>
    </row>
    <row r="252" spans="1:77" s="62" customFormat="1" ht="35.1" customHeight="1">
      <c r="A252" s="63"/>
      <c r="B252" s="163"/>
      <c r="C252" s="89"/>
      <c r="D252" s="65"/>
      <c r="E252" s="65"/>
      <c r="F252" s="65"/>
      <c r="G252" s="65"/>
      <c r="H252" s="65"/>
      <c r="I252" s="65"/>
      <c r="J252" s="44"/>
      <c r="K252" s="44">
        <v>0</v>
      </c>
      <c r="L252" s="44">
        <v>0</v>
      </c>
      <c r="M252" s="17"/>
      <c r="N252" s="60"/>
      <c r="O252" s="60" t="str">
        <f t="shared" si="14"/>
        <v/>
      </c>
      <c r="P252" s="61" t="str">
        <f t="shared" si="16"/>
        <v>-</v>
      </c>
      <c r="Q252" s="61"/>
      <c r="R252" s="61"/>
      <c r="S252" s="61"/>
      <c r="T252" s="61"/>
      <c r="U252" s="61"/>
    </row>
    <row r="253" spans="1:77" s="62" customFormat="1" ht="35.1" customHeight="1">
      <c r="A253" s="63"/>
      <c r="B253" s="163"/>
      <c r="C253" s="89"/>
      <c r="D253" s="65"/>
      <c r="E253" s="65"/>
      <c r="F253" s="65"/>
      <c r="G253" s="65"/>
      <c r="H253" s="65"/>
      <c r="I253" s="65"/>
      <c r="J253" s="44"/>
      <c r="K253" s="44">
        <v>0</v>
      </c>
      <c r="L253" s="44">
        <v>0</v>
      </c>
      <c r="M253" s="17"/>
      <c r="N253" s="60"/>
      <c r="O253" s="60" t="str">
        <f t="shared" si="14"/>
        <v/>
      </c>
      <c r="P253" s="61" t="str">
        <f t="shared" si="16"/>
        <v>-</v>
      </c>
      <c r="Q253" s="61"/>
      <c r="R253" s="61"/>
      <c r="S253" s="61"/>
      <c r="T253" s="61"/>
      <c r="U253" s="61"/>
    </row>
    <row r="254" spans="1:77" s="62" customFormat="1" ht="35.1" customHeight="1">
      <c r="A254" s="63"/>
      <c r="B254" s="163"/>
      <c r="C254" s="89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60"/>
      <c r="O254" s="60" t="str">
        <f t="shared" si="14"/>
        <v/>
      </c>
      <c r="P254" s="61" t="str">
        <f t="shared" si="16"/>
        <v>-</v>
      </c>
      <c r="Q254" s="61"/>
      <c r="R254" s="61"/>
      <c r="S254" s="61"/>
      <c r="T254" s="61"/>
      <c r="U254" s="61"/>
    </row>
    <row r="255" spans="1:77" s="62" customFormat="1" ht="35.1" customHeight="1">
      <c r="A255" s="63"/>
      <c r="B255" s="163"/>
      <c r="C255" s="89"/>
      <c r="D255" s="65"/>
      <c r="E255" s="65"/>
      <c r="F255" s="65"/>
      <c r="G255" s="65"/>
      <c r="H255" s="65"/>
      <c r="I255" s="65"/>
      <c r="J255" s="44"/>
      <c r="K255" s="44">
        <v>0</v>
      </c>
      <c r="L255" s="44">
        <v>0</v>
      </c>
      <c r="M255" s="17"/>
      <c r="N255" s="60"/>
      <c r="O255" s="60" t="str">
        <f t="shared" si="14"/>
        <v/>
      </c>
      <c r="P255" s="61" t="str">
        <f t="shared" si="16"/>
        <v>-</v>
      </c>
      <c r="Q255" s="61"/>
      <c r="R255" s="61"/>
      <c r="S255" s="61"/>
      <c r="T255" s="61"/>
      <c r="U255" s="61"/>
    </row>
    <row r="256" spans="1:77" s="62" customFormat="1" ht="35.1" customHeight="1">
      <c r="A256" s="63"/>
      <c r="B256" s="163"/>
      <c r="C256" s="89"/>
      <c r="D256" s="65"/>
      <c r="E256" s="65"/>
      <c r="F256" s="65"/>
      <c r="G256" s="65"/>
      <c r="H256" s="65"/>
      <c r="I256" s="65"/>
      <c r="J256" s="44"/>
      <c r="K256" s="44">
        <v>0</v>
      </c>
      <c r="L256" s="44">
        <v>0</v>
      </c>
      <c r="M256" s="17"/>
      <c r="N256" s="60"/>
      <c r="O256" s="60" t="str">
        <f t="shared" si="14"/>
        <v/>
      </c>
      <c r="P256" s="61" t="str">
        <f t="shared" si="16"/>
        <v>-</v>
      </c>
      <c r="Q256" s="61"/>
      <c r="R256" s="61"/>
      <c r="S256" s="61"/>
      <c r="T256" s="61"/>
      <c r="U256" s="61"/>
    </row>
    <row r="257" spans="1:77" s="62" customFormat="1" ht="35.1" customHeight="1">
      <c r="A257" s="63"/>
      <c r="B257" s="163"/>
      <c r="C257" s="89"/>
      <c r="D257" s="65"/>
      <c r="E257" s="65"/>
      <c r="F257" s="65"/>
      <c r="G257" s="65"/>
      <c r="H257" s="65"/>
      <c r="I257" s="65"/>
      <c r="J257" s="44"/>
      <c r="K257" s="44">
        <v>0</v>
      </c>
      <c r="L257" s="44">
        <v>0</v>
      </c>
      <c r="M257" s="17"/>
      <c r="N257" s="60"/>
      <c r="O257" s="60" t="str">
        <f t="shared" si="14"/>
        <v/>
      </c>
      <c r="P257" s="61" t="str">
        <f t="shared" si="16"/>
        <v>-</v>
      </c>
      <c r="Q257" s="61"/>
      <c r="R257" s="61"/>
      <c r="S257" s="61"/>
      <c r="T257" s="61"/>
      <c r="U257" s="61"/>
    </row>
    <row r="258" spans="1:77" s="62" customFormat="1" ht="35.1" customHeight="1">
      <c r="A258" s="63"/>
      <c r="B258" s="163"/>
      <c r="C258" s="64"/>
      <c r="D258" s="65"/>
      <c r="E258" s="65"/>
      <c r="F258" s="65"/>
      <c r="G258" s="65"/>
      <c r="H258" s="65"/>
      <c r="I258" s="65"/>
      <c r="J258" s="44"/>
      <c r="K258" s="44"/>
      <c r="L258" s="44"/>
      <c r="M258" s="17"/>
      <c r="N258" s="60"/>
      <c r="O258" s="60" t="str">
        <f t="shared" si="14"/>
        <v/>
      </c>
      <c r="P258" s="61" t="str">
        <f t="shared" si="16"/>
        <v>-</v>
      </c>
      <c r="Q258" s="61"/>
      <c r="R258" s="61"/>
      <c r="S258" s="61"/>
      <c r="T258" s="61"/>
      <c r="U258" s="61"/>
    </row>
    <row r="259" spans="1:77" s="62" customFormat="1" ht="35.1" customHeight="1">
      <c r="A259" s="63"/>
      <c r="B259" s="163"/>
      <c r="C259" s="64"/>
      <c r="D259" s="65"/>
      <c r="E259" s="65"/>
      <c r="F259" s="65"/>
      <c r="G259" s="65"/>
      <c r="H259" s="65"/>
      <c r="I259" s="65"/>
      <c r="J259" s="44"/>
      <c r="K259" s="44"/>
      <c r="L259" s="44"/>
      <c r="M259" s="17"/>
      <c r="N259" s="60"/>
      <c r="O259" s="60" t="str">
        <f t="shared" si="14"/>
        <v/>
      </c>
      <c r="P259" s="61" t="str">
        <f t="shared" si="16"/>
        <v>-</v>
      </c>
      <c r="Q259" s="61"/>
      <c r="R259" s="61"/>
      <c r="S259" s="61"/>
      <c r="T259" s="61"/>
      <c r="U259" s="61"/>
    </row>
    <row r="260" spans="1:77" s="62" customFormat="1" ht="35.1" customHeight="1">
      <c r="A260" s="63"/>
      <c r="B260" s="163"/>
      <c r="C260" s="64"/>
      <c r="D260" s="65"/>
      <c r="E260" s="65"/>
      <c r="F260" s="65"/>
      <c r="G260" s="65"/>
      <c r="H260" s="65"/>
      <c r="I260" s="65"/>
      <c r="J260" s="44"/>
      <c r="K260" s="44"/>
      <c r="L260" s="44"/>
      <c r="M260" s="17"/>
      <c r="N260" s="60"/>
      <c r="O260" s="60" t="str">
        <f t="shared" si="14"/>
        <v/>
      </c>
      <c r="P260" s="61" t="str">
        <f t="shared" si="16"/>
        <v>-</v>
      </c>
      <c r="Q260" s="61"/>
      <c r="R260" s="61"/>
      <c r="S260" s="61"/>
      <c r="T260" s="61"/>
      <c r="U260" s="61"/>
    </row>
    <row r="261" spans="1:77" s="62" customFormat="1" ht="35.1" customHeight="1">
      <c r="A261" s="63"/>
      <c r="B261" s="163"/>
      <c r="C261" s="64"/>
      <c r="D261" s="65"/>
      <c r="E261" s="65"/>
      <c r="F261" s="65"/>
      <c r="G261" s="65"/>
      <c r="H261" s="65"/>
      <c r="I261" s="65"/>
      <c r="J261" s="44"/>
      <c r="K261" s="44"/>
      <c r="L261" s="44"/>
      <c r="M261" s="17"/>
      <c r="N261" s="60"/>
      <c r="O261" s="60" t="str">
        <f t="shared" si="14"/>
        <v/>
      </c>
      <c r="P261" s="61" t="str">
        <f t="shared" si="16"/>
        <v>-</v>
      </c>
      <c r="Q261" s="61"/>
      <c r="R261" s="61"/>
      <c r="S261" s="61"/>
      <c r="T261" s="61"/>
      <c r="U261" s="61"/>
    </row>
    <row r="262" spans="1:77" s="62" customFormat="1" ht="35.1" customHeight="1">
      <c r="A262" s="63"/>
      <c r="B262" s="163"/>
      <c r="C262" s="64"/>
      <c r="D262" s="65"/>
      <c r="E262" s="65"/>
      <c r="F262" s="65"/>
      <c r="G262" s="65"/>
      <c r="H262" s="65"/>
      <c r="I262" s="65"/>
      <c r="J262" s="44"/>
      <c r="K262" s="44"/>
      <c r="L262" s="44"/>
      <c r="M262" s="17"/>
      <c r="N262" s="60"/>
      <c r="O262" s="60" t="str">
        <f t="shared" si="14"/>
        <v/>
      </c>
      <c r="P262" s="61" t="str">
        <f t="shared" si="16"/>
        <v>-</v>
      </c>
      <c r="Q262" s="61"/>
      <c r="R262" s="61"/>
      <c r="S262" s="61"/>
      <c r="T262" s="61"/>
      <c r="U262" s="61"/>
    </row>
    <row r="263" spans="1:77" s="62" customFormat="1" ht="35.1" customHeight="1">
      <c r="A263" s="63"/>
      <c r="B263" s="163"/>
      <c r="C263" s="64"/>
      <c r="D263" s="65"/>
      <c r="E263" s="65"/>
      <c r="F263" s="65"/>
      <c r="G263" s="65"/>
      <c r="H263" s="65"/>
      <c r="I263" s="65"/>
      <c r="J263" s="44"/>
      <c r="K263" s="44"/>
      <c r="L263" s="44"/>
      <c r="M263" s="17"/>
      <c r="N263" s="60"/>
      <c r="O263" s="60" t="str">
        <f t="shared" si="14"/>
        <v/>
      </c>
      <c r="P263" s="61" t="str">
        <f t="shared" si="16"/>
        <v>-</v>
      </c>
      <c r="Q263" s="61"/>
      <c r="R263" s="61"/>
      <c r="S263" s="61"/>
      <c r="T263" s="61"/>
      <c r="U263" s="61"/>
    </row>
    <row r="264" spans="1:77" s="62" customFormat="1" ht="35.1" customHeight="1">
      <c r="A264" s="63"/>
      <c r="B264" s="163"/>
      <c r="C264" s="64"/>
      <c r="D264" s="65"/>
      <c r="E264" s="65"/>
      <c r="F264" s="65"/>
      <c r="G264" s="65"/>
      <c r="H264" s="65"/>
      <c r="I264" s="65"/>
      <c r="J264" s="44"/>
      <c r="K264" s="44"/>
      <c r="L264" s="44"/>
      <c r="M264" s="17"/>
      <c r="N264" s="60"/>
      <c r="O264" s="60" t="str">
        <f t="shared" si="14"/>
        <v/>
      </c>
      <c r="P264" s="61" t="str">
        <f t="shared" si="16"/>
        <v>-</v>
      </c>
      <c r="Q264" s="61"/>
      <c r="R264" s="61"/>
      <c r="S264" s="61"/>
      <c r="T264" s="61"/>
      <c r="U264" s="61"/>
    </row>
    <row r="265" spans="1:77" s="62" customFormat="1" ht="35.1" customHeight="1">
      <c r="A265" s="63"/>
      <c r="B265" s="163"/>
      <c r="C265" s="64"/>
      <c r="D265" s="65"/>
      <c r="E265" s="65"/>
      <c r="F265" s="65"/>
      <c r="G265" s="65"/>
      <c r="H265" s="65"/>
      <c r="I265" s="65"/>
      <c r="J265" s="44"/>
      <c r="K265" s="44"/>
      <c r="L265" s="44"/>
      <c r="M265" s="17"/>
      <c r="N265" s="60"/>
      <c r="O265" s="60" t="str">
        <f t="shared" si="14"/>
        <v/>
      </c>
      <c r="P265" s="61" t="str">
        <f t="shared" si="16"/>
        <v>-</v>
      </c>
      <c r="Q265" s="61"/>
      <c r="R265" s="61"/>
      <c r="S265" s="61"/>
      <c r="T265" s="61"/>
      <c r="U265" s="61"/>
    </row>
    <row r="266" spans="1:77" s="62" customFormat="1" ht="35.1" customHeight="1">
      <c r="A266" s="63"/>
      <c r="B266" s="163"/>
      <c r="C266" s="64"/>
      <c r="D266" s="65"/>
      <c r="E266" s="65"/>
      <c r="F266" s="65"/>
      <c r="G266" s="65"/>
      <c r="H266" s="65"/>
      <c r="I266" s="65"/>
      <c r="J266" s="44"/>
      <c r="K266" s="44"/>
      <c r="L266" s="44"/>
      <c r="M266" s="17"/>
      <c r="N266" s="60"/>
      <c r="O266" s="60" t="str">
        <f t="shared" si="14"/>
        <v/>
      </c>
      <c r="P266" s="61" t="str">
        <f t="shared" si="16"/>
        <v>-</v>
      </c>
      <c r="Q266" s="61"/>
      <c r="R266" s="61"/>
      <c r="S266" s="61"/>
      <c r="T266" s="61"/>
      <c r="U266" s="61"/>
    </row>
    <row r="267" spans="1:77" s="73" customFormat="1" ht="35.1" customHeight="1">
      <c r="A267" s="66" t="s">
        <v>41</v>
      </c>
      <c r="B267" s="67"/>
      <c r="C267" s="67"/>
      <c r="D267" s="68"/>
      <c r="E267" s="69"/>
      <c r="F267" s="69"/>
      <c r="G267" s="69">
        <f>SUM(G247:G266)</f>
        <v>0</v>
      </c>
      <c r="H267" s="70"/>
      <c r="I267" s="70"/>
      <c r="J267" s="70"/>
      <c r="K267" s="70"/>
      <c r="L267" s="70"/>
      <c r="M267" s="71"/>
      <c r="N267" s="60"/>
      <c r="O267" s="60" t="str">
        <f t="shared" si="14"/>
        <v/>
      </c>
      <c r="P267" s="61"/>
      <c r="Q267" s="61"/>
      <c r="R267" s="61"/>
      <c r="S267" s="61"/>
      <c r="T267" s="61"/>
      <c r="U267" s="61"/>
      <c r="V267" s="72"/>
      <c r="W267" s="72"/>
      <c r="X267" s="72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72"/>
      <c r="AN267" s="72"/>
      <c r="AO267" s="72"/>
      <c r="AP267" s="72"/>
      <c r="AQ267" s="72"/>
      <c r="AR267" s="72"/>
      <c r="AS267" s="72"/>
      <c r="AT267" s="72"/>
      <c r="AU267" s="72"/>
      <c r="AV267" s="72"/>
      <c r="AW267" s="72"/>
      <c r="AX267" s="72"/>
      <c r="AY267" s="72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2"/>
      <c r="BK267" s="72"/>
      <c r="BL267" s="72"/>
      <c r="BM267" s="72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2"/>
      <c r="BY267" s="72"/>
    </row>
  </sheetData>
  <mergeCells count="9"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89"/>
  <sheetViews>
    <sheetView showGridLines="0" showZeros="0" view="pageBreakPreview" zoomScaleSheetLayoutView="100" workbookViewId="0">
      <selection activeCell="Q6" sqref="Q6"/>
    </sheetView>
  </sheetViews>
  <sheetFormatPr defaultRowHeight="11.25"/>
  <cols>
    <col min="1" max="1" width="3.77734375" style="182" customWidth="1"/>
    <col min="2" max="3" width="7.77734375" style="182" customWidth="1"/>
    <col min="4" max="4" width="3.77734375" style="182" customWidth="1"/>
    <col min="5" max="5" width="7.77734375" style="182" customWidth="1"/>
    <col min="6" max="6" width="5.77734375" style="182" customWidth="1"/>
    <col min="7" max="7" width="5.77734375" style="217" customWidth="1"/>
    <col min="8" max="8" width="7.77734375" style="182" customWidth="1"/>
    <col min="9" max="9" width="15.77734375" style="182" customWidth="1"/>
    <col min="10" max="10" width="12.77734375" style="182" customWidth="1"/>
    <col min="11" max="11" width="25.77734375" style="182" customWidth="1"/>
    <col min="12" max="12" width="10.77734375" style="182" customWidth="1"/>
    <col min="13" max="13" width="4.77734375" style="182" customWidth="1"/>
    <col min="14" max="15" width="8" style="218" customWidth="1"/>
    <col min="16" max="20" width="9.77734375" style="182" customWidth="1"/>
    <col min="21" max="21" width="10.77734375" style="182" customWidth="1"/>
    <col min="22" max="16384" width="8.88671875" style="182"/>
  </cols>
  <sheetData>
    <row r="1" spans="1:21" s="179" customFormat="1" ht="30" customHeight="1">
      <c r="A1" s="407" t="s">
        <v>47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</row>
    <row r="2" spans="1:21" ht="15" customHeight="1">
      <c r="A2" s="180"/>
      <c r="B2" s="180"/>
      <c r="C2" s="180"/>
      <c r="D2" s="180"/>
      <c r="E2" s="180"/>
      <c r="F2" s="180"/>
      <c r="G2" s="181"/>
      <c r="H2" s="180"/>
      <c r="I2" s="180"/>
      <c r="K2" s="183"/>
      <c r="L2" s="184"/>
      <c r="M2" s="185" t="s">
        <v>124</v>
      </c>
      <c r="N2" s="184"/>
      <c r="O2" s="184"/>
      <c r="P2" s="180"/>
      <c r="Q2" s="180"/>
      <c r="R2" s="180"/>
      <c r="S2" s="180"/>
      <c r="T2" s="180"/>
      <c r="U2" s="180"/>
    </row>
    <row r="3" spans="1:21" ht="5.0999999999999996" customHeight="1">
      <c r="A3" s="180"/>
      <c r="B3" s="180"/>
      <c r="C3" s="180"/>
      <c r="D3" s="180"/>
      <c r="E3" s="180"/>
      <c r="F3" s="180"/>
      <c r="G3" s="181"/>
      <c r="H3" s="180"/>
      <c r="I3" s="180"/>
      <c r="J3" s="180"/>
      <c r="K3" s="180"/>
      <c r="L3" s="180"/>
      <c r="M3" s="186"/>
      <c r="N3" s="187"/>
      <c r="O3" s="187"/>
      <c r="P3" s="180"/>
      <c r="Q3" s="180"/>
      <c r="R3" s="180"/>
      <c r="S3" s="180"/>
      <c r="T3" s="180"/>
      <c r="U3" s="180"/>
    </row>
    <row r="4" spans="1:21" s="191" customFormat="1" ht="24.95" customHeight="1">
      <c r="A4" s="188" t="s">
        <v>33</v>
      </c>
      <c r="B4" s="408" t="s">
        <v>170</v>
      </c>
      <c r="C4" s="410" t="s">
        <v>59</v>
      </c>
      <c r="D4" s="408" t="s">
        <v>60</v>
      </c>
      <c r="E4" s="393" t="s">
        <v>64</v>
      </c>
      <c r="F4" s="413" t="s">
        <v>63</v>
      </c>
      <c r="G4" s="414"/>
      <c r="H4" s="415" t="s">
        <v>36</v>
      </c>
      <c r="I4" s="416"/>
      <c r="J4" s="415" t="s">
        <v>37</v>
      </c>
      <c r="K4" s="417"/>
      <c r="L4" s="416"/>
      <c r="M4" s="418" t="s">
        <v>27</v>
      </c>
      <c r="N4" s="189"/>
      <c r="O4" s="189"/>
      <c r="P4" s="190"/>
      <c r="Q4" s="190"/>
      <c r="R4" s="190"/>
      <c r="S4" s="190"/>
      <c r="T4" s="190"/>
      <c r="U4" s="190"/>
    </row>
    <row r="5" spans="1:21" s="191" customFormat="1" ht="24.95" customHeight="1">
      <c r="A5" s="192" t="s">
        <v>38</v>
      </c>
      <c r="B5" s="409"/>
      <c r="C5" s="411"/>
      <c r="D5" s="409"/>
      <c r="E5" s="412"/>
      <c r="F5" s="136" t="s">
        <v>65</v>
      </c>
      <c r="G5" s="136" t="s">
        <v>44</v>
      </c>
      <c r="H5" s="193" t="s">
        <v>39</v>
      </c>
      <c r="I5" s="194" t="s">
        <v>40</v>
      </c>
      <c r="J5" s="193" t="s">
        <v>39</v>
      </c>
      <c r="K5" s="193" t="s">
        <v>40</v>
      </c>
      <c r="L5" s="194" t="s">
        <v>54</v>
      </c>
      <c r="M5" s="419"/>
      <c r="N5" s="195"/>
      <c r="O5" s="195"/>
      <c r="P5" s="196"/>
      <c r="Q5" s="196" t="s">
        <v>65</v>
      </c>
      <c r="R5" s="196"/>
      <c r="S5" s="196"/>
      <c r="T5" s="196"/>
      <c r="U5" s="197"/>
    </row>
    <row r="6" spans="1:21" s="140" customFormat="1" ht="24.95" customHeight="1">
      <c r="A6" s="165">
        <v>1</v>
      </c>
      <c r="B6" s="111" t="s">
        <v>44</v>
      </c>
      <c r="C6" s="122" t="s">
        <v>93</v>
      </c>
      <c r="D6" s="112" t="s">
        <v>72</v>
      </c>
      <c r="E6" s="112">
        <v>1267</v>
      </c>
      <c r="F6" s="113">
        <v>488</v>
      </c>
      <c r="G6" s="146">
        <v>1267</v>
      </c>
      <c r="H6" s="112" t="s">
        <v>87</v>
      </c>
      <c r="I6" s="112" t="s">
        <v>88</v>
      </c>
      <c r="J6" s="114"/>
      <c r="K6" s="114"/>
      <c r="L6" s="114"/>
      <c r="M6" s="115"/>
      <c r="N6" s="138"/>
      <c r="O6" s="174" t="str">
        <f t="shared" ref="O6:O42" si="0">CONCATENATE(D6,H6)</f>
        <v>도국</v>
      </c>
      <c r="P6" s="175" t="str">
        <f t="shared" ref="P6:P30" si="1">IF(E6&gt;=G6,"-","err")</f>
        <v>-</v>
      </c>
      <c r="Q6" s="175" t="str">
        <f t="shared" ref="Q6:Q30" si="2">IF(F6=0,"1","2")</f>
        <v>2</v>
      </c>
      <c r="R6" s="139"/>
      <c r="S6" s="139"/>
      <c r="T6" s="139"/>
      <c r="U6" s="139"/>
    </row>
    <row r="7" spans="1:21" s="140" customFormat="1" ht="24.95" customHeight="1">
      <c r="A7" s="160">
        <v>2</v>
      </c>
      <c r="B7" s="111" t="s">
        <v>44</v>
      </c>
      <c r="C7" s="122" t="s">
        <v>94</v>
      </c>
      <c r="D7" s="112" t="s">
        <v>82</v>
      </c>
      <c r="E7" s="112">
        <v>10</v>
      </c>
      <c r="F7" s="112">
        <v>0</v>
      </c>
      <c r="G7" s="146">
        <v>10</v>
      </c>
      <c r="H7" s="112" t="s">
        <v>87</v>
      </c>
      <c r="I7" s="112" t="s">
        <v>88</v>
      </c>
      <c r="J7" s="114"/>
      <c r="K7" s="114"/>
      <c r="L7" s="114"/>
      <c r="M7" s="115"/>
      <c r="N7" s="138"/>
      <c r="O7" s="174" t="str">
        <f t="shared" si="0"/>
        <v>구국</v>
      </c>
      <c r="P7" s="175" t="str">
        <f t="shared" si="1"/>
        <v>-</v>
      </c>
      <c r="Q7" s="175" t="str">
        <f t="shared" si="2"/>
        <v>1</v>
      </c>
      <c r="R7" s="139"/>
      <c r="S7" s="139"/>
      <c r="T7" s="139"/>
      <c r="U7" s="139"/>
    </row>
    <row r="8" spans="1:21" s="140" customFormat="1" ht="24.95" customHeight="1">
      <c r="A8" s="160">
        <v>3</v>
      </c>
      <c r="B8" s="111" t="s">
        <v>44</v>
      </c>
      <c r="C8" s="122" t="s">
        <v>95</v>
      </c>
      <c r="D8" s="112" t="s">
        <v>82</v>
      </c>
      <c r="E8" s="112">
        <v>143</v>
      </c>
      <c r="F8" s="112">
        <v>0</v>
      </c>
      <c r="G8" s="112">
        <v>143</v>
      </c>
      <c r="H8" s="112" t="s">
        <v>87</v>
      </c>
      <c r="I8" s="112" t="s">
        <v>88</v>
      </c>
      <c r="J8" s="114"/>
      <c r="K8" s="114"/>
      <c r="L8" s="114"/>
      <c r="M8" s="115"/>
      <c r="N8" s="138"/>
      <c r="O8" s="174" t="str">
        <f t="shared" si="0"/>
        <v>구국</v>
      </c>
      <c r="P8" s="175" t="str">
        <f t="shared" si="1"/>
        <v>-</v>
      </c>
      <c r="Q8" s="175" t="str">
        <f t="shared" si="2"/>
        <v>1</v>
      </c>
      <c r="R8" s="139"/>
      <c r="S8" s="139"/>
      <c r="T8" s="139"/>
      <c r="U8" s="139"/>
    </row>
    <row r="9" spans="1:21" s="204" customFormat="1" ht="24.95" customHeight="1">
      <c r="A9" s="245">
        <v>4</v>
      </c>
      <c r="B9" s="167" t="s">
        <v>44</v>
      </c>
      <c r="C9" s="198" t="s">
        <v>160</v>
      </c>
      <c r="D9" s="199" t="s">
        <v>77</v>
      </c>
      <c r="E9" s="199">
        <v>32</v>
      </c>
      <c r="F9" s="199">
        <v>0</v>
      </c>
      <c r="G9" s="199">
        <v>32</v>
      </c>
      <c r="H9" s="199" t="s">
        <v>136</v>
      </c>
      <c r="I9" s="199" t="s">
        <v>137</v>
      </c>
      <c r="J9" s="200" t="s">
        <v>128</v>
      </c>
      <c r="K9" s="200" t="s">
        <v>138</v>
      </c>
      <c r="L9" s="200" t="s">
        <v>271</v>
      </c>
      <c r="M9" s="201"/>
      <c r="N9" s="202"/>
      <c r="O9" s="152" t="str">
        <f t="shared" si="0"/>
        <v>대유*수</v>
      </c>
      <c r="P9" s="153" t="str">
        <f t="shared" si="1"/>
        <v>-</v>
      </c>
      <c r="Q9" s="153" t="str">
        <f t="shared" si="2"/>
        <v>1</v>
      </c>
      <c r="R9" s="203"/>
      <c r="S9" s="203"/>
      <c r="T9" s="203"/>
      <c r="U9" s="203"/>
    </row>
    <row r="10" spans="1:21" s="204" customFormat="1" ht="24.95" customHeight="1">
      <c r="A10" s="245">
        <v>5</v>
      </c>
      <c r="B10" s="167" t="s">
        <v>44</v>
      </c>
      <c r="C10" s="198" t="s">
        <v>161</v>
      </c>
      <c r="D10" s="199" t="s">
        <v>77</v>
      </c>
      <c r="E10" s="199">
        <v>2</v>
      </c>
      <c r="F10" s="199">
        <v>0</v>
      </c>
      <c r="G10" s="199">
        <v>2</v>
      </c>
      <c r="H10" s="199" t="s">
        <v>136</v>
      </c>
      <c r="I10" s="199" t="s">
        <v>137</v>
      </c>
      <c r="J10" s="200" t="s">
        <v>128</v>
      </c>
      <c r="K10" s="200" t="s">
        <v>138</v>
      </c>
      <c r="L10" s="200" t="s">
        <v>271</v>
      </c>
      <c r="M10" s="201"/>
      <c r="N10" s="202"/>
      <c r="O10" s="152" t="str">
        <f t="shared" si="0"/>
        <v>대유*수</v>
      </c>
      <c r="P10" s="153" t="str">
        <f t="shared" si="1"/>
        <v>-</v>
      </c>
      <c r="Q10" s="153" t="str">
        <f t="shared" si="2"/>
        <v>1</v>
      </c>
      <c r="R10" s="203"/>
      <c r="S10" s="203"/>
      <c r="T10" s="203"/>
      <c r="U10" s="203"/>
    </row>
    <row r="11" spans="1:21" s="140" customFormat="1" ht="24.95" customHeight="1">
      <c r="A11" s="160">
        <v>6</v>
      </c>
      <c r="B11" s="111" t="s">
        <v>44</v>
      </c>
      <c r="C11" s="130" t="s">
        <v>96</v>
      </c>
      <c r="D11" s="112" t="s">
        <v>5</v>
      </c>
      <c r="E11" s="112">
        <v>60</v>
      </c>
      <c r="F11" s="112">
        <v>60</v>
      </c>
      <c r="G11" s="112">
        <v>60</v>
      </c>
      <c r="H11" s="112" t="s">
        <v>139</v>
      </c>
      <c r="I11" s="112"/>
      <c r="J11" s="114"/>
      <c r="L11" s="114"/>
      <c r="M11" s="115"/>
      <c r="N11" s="138"/>
      <c r="O11" s="174" t="str">
        <f t="shared" si="0"/>
        <v>전이*춘</v>
      </c>
      <c r="P11" s="175" t="str">
        <f t="shared" si="1"/>
        <v>-</v>
      </c>
      <c r="Q11" s="175" t="str">
        <f>IF(F11=0,"1","2")</f>
        <v>2</v>
      </c>
      <c r="R11" s="139"/>
      <c r="S11" s="139"/>
      <c r="T11" s="139"/>
      <c r="U11" s="139"/>
    </row>
    <row r="12" spans="1:21" s="140" customFormat="1" ht="24.95" customHeight="1">
      <c r="A12" s="160">
        <v>7</v>
      </c>
      <c r="B12" s="111" t="s">
        <v>179</v>
      </c>
      <c r="C12" s="130" t="s">
        <v>97</v>
      </c>
      <c r="D12" s="112" t="s">
        <v>72</v>
      </c>
      <c r="E12" s="112">
        <v>1081</v>
      </c>
      <c r="F12" s="112">
        <v>972</v>
      </c>
      <c r="G12" s="112">
        <v>948</v>
      </c>
      <c r="H12" s="112" t="s">
        <v>87</v>
      </c>
      <c r="I12" s="112" t="s">
        <v>123</v>
      </c>
      <c r="J12" s="114"/>
      <c r="K12" s="114"/>
      <c r="L12" s="114"/>
      <c r="M12" s="115"/>
      <c r="N12" s="138"/>
      <c r="O12" s="152" t="str">
        <f t="shared" si="0"/>
        <v>도국</v>
      </c>
      <c r="P12" s="153" t="str">
        <f t="shared" si="1"/>
        <v>-</v>
      </c>
      <c r="Q12" s="153" t="str">
        <f t="shared" si="2"/>
        <v>2</v>
      </c>
      <c r="R12" s="139"/>
      <c r="S12" s="139"/>
      <c r="T12" s="139"/>
      <c r="U12" s="139"/>
    </row>
    <row r="13" spans="1:21" s="140" customFormat="1" ht="24.95" customHeight="1">
      <c r="A13" s="160">
        <v>8</v>
      </c>
      <c r="B13" s="111" t="s">
        <v>179</v>
      </c>
      <c r="C13" s="122" t="s">
        <v>98</v>
      </c>
      <c r="D13" s="112" t="s">
        <v>72</v>
      </c>
      <c r="E13" s="112">
        <v>25</v>
      </c>
      <c r="F13" s="112">
        <v>25</v>
      </c>
      <c r="G13" s="112">
        <v>25</v>
      </c>
      <c r="H13" s="112" t="s">
        <v>180</v>
      </c>
      <c r="I13" s="112" t="s">
        <v>181</v>
      </c>
      <c r="J13" s="114"/>
      <c r="K13" s="114"/>
      <c r="L13" s="114"/>
      <c r="M13" s="115"/>
      <c r="N13" s="138"/>
      <c r="O13" s="174" t="str">
        <f t="shared" si="0"/>
        <v>도이*현</v>
      </c>
      <c r="P13" s="175" t="str">
        <f t="shared" si="1"/>
        <v>-</v>
      </c>
      <c r="Q13" s="175" t="str">
        <f t="shared" si="2"/>
        <v>2</v>
      </c>
      <c r="R13" s="139"/>
      <c r="S13" s="139"/>
      <c r="T13" s="139"/>
      <c r="U13" s="139"/>
    </row>
    <row r="14" spans="1:21" s="204" customFormat="1" ht="24.95" customHeight="1">
      <c r="A14" s="245">
        <v>9</v>
      </c>
      <c r="B14" s="167" t="s">
        <v>179</v>
      </c>
      <c r="C14" s="198" t="s">
        <v>182</v>
      </c>
      <c r="D14" s="199" t="s">
        <v>72</v>
      </c>
      <c r="E14" s="199">
        <v>37</v>
      </c>
      <c r="F14" s="199">
        <v>37</v>
      </c>
      <c r="G14" s="199">
        <v>37</v>
      </c>
      <c r="H14" s="199" t="s">
        <v>180</v>
      </c>
      <c r="I14" s="199" t="s">
        <v>181</v>
      </c>
      <c r="J14" s="200"/>
      <c r="K14" s="200"/>
      <c r="L14" s="200"/>
      <c r="M14" s="201"/>
      <c r="N14" s="202"/>
      <c r="O14" s="152" t="str">
        <f t="shared" si="0"/>
        <v>도이*현</v>
      </c>
      <c r="P14" s="153" t="str">
        <f t="shared" si="1"/>
        <v>-</v>
      </c>
      <c r="Q14" s="153" t="str">
        <f t="shared" si="2"/>
        <v>2</v>
      </c>
      <c r="R14" s="203"/>
      <c r="S14" s="203"/>
      <c r="T14" s="203"/>
      <c r="U14" s="203"/>
    </row>
    <row r="15" spans="1:21" s="204" customFormat="1" ht="24.95" customHeight="1">
      <c r="A15" s="245">
        <v>10</v>
      </c>
      <c r="B15" s="167" t="s">
        <v>179</v>
      </c>
      <c r="C15" s="198" t="s">
        <v>183</v>
      </c>
      <c r="D15" s="199" t="s">
        <v>72</v>
      </c>
      <c r="E15" s="199">
        <v>7</v>
      </c>
      <c r="F15" s="199">
        <v>7</v>
      </c>
      <c r="G15" s="199">
        <v>7</v>
      </c>
      <c r="H15" s="199" t="s">
        <v>184</v>
      </c>
      <c r="I15" s="199" t="s">
        <v>181</v>
      </c>
      <c r="J15" s="205"/>
      <c r="K15" s="200"/>
      <c r="L15" s="200"/>
      <c r="M15" s="201"/>
      <c r="N15" s="202"/>
      <c r="O15" s="152" t="str">
        <f t="shared" si="0"/>
        <v>도이*례</v>
      </c>
      <c r="P15" s="153" t="str">
        <f t="shared" si="1"/>
        <v>-</v>
      </c>
      <c r="Q15" s="153" t="str">
        <f t="shared" si="2"/>
        <v>2</v>
      </c>
      <c r="R15" s="203"/>
      <c r="S15" s="203"/>
      <c r="T15" s="203"/>
      <c r="U15" s="203"/>
    </row>
    <row r="16" spans="1:21" s="140" customFormat="1" ht="24.95" customHeight="1">
      <c r="A16" s="160">
        <v>11</v>
      </c>
      <c r="B16" s="111" t="s">
        <v>179</v>
      </c>
      <c r="C16" s="122" t="s">
        <v>99</v>
      </c>
      <c r="D16" s="112" t="s">
        <v>72</v>
      </c>
      <c r="E16" s="112">
        <v>42</v>
      </c>
      <c r="F16" s="112">
        <v>42</v>
      </c>
      <c r="G16" s="112">
        <v>42</v>
      </c>
      <c r="H16" s="112" t="s">
        <v>180</v>
      </c>
      <c r="I16" s="112" t="s">
        <v>181</v>
      </c>
      <c r="J16" s="114"/>
      <c r="K16" s="114"/>
      <c r="L16" s="114"/>
      <c r="M16" s="115"/>
      <c r="N16" s="138"/>
      <c r="O16" s="174" t="str">
        <f t="shared" si="0"/>
        <v>도이*현</v>
      </c>
      <c r="P16" s="175" t="str">
        <f t="shared" si="1"/>
        <v>-</v>
      </c>
      <c r="Q16" s="175" t="str">
        <f t="shared" si="2"/>
        <v>2</v>
      </c>
      <c r="R16" s="139"/>
      <c r="S16" s="139"/>
      <c r="T16" s="139"/>
      <c r="U16" s="139"/>
    </row>
    <row r="17" spans="1:77" s="140" customFormat="1" ht="24.95" customHeight="1">
      <c r="A17" s="160">
        <v>12</v>
      </c>
      <c r="B17" s="111" t="s">
        <v>179</v>
      </c>
      <c r="C17" s="221" t="s">
        <v>100</v>
      </c>
      <c r="D17" s="222" t="s">
        <v>72</v>
      </c>
      <c r="E17" s="222">
        <v>48</v>
      </c>
      <c r="F17" s="222">
        <v>48</v>
      </c>
      <c r="G17" s="222">
        <v>12</v>
      </c>
      <c r="H17" s="222" t="s">
        <v>89</v>
      </c>
      <c r="I17" s="222" t="s">
        <v>90</v>
      </c>
      <c r="J17" s="114"/>
      <c r="K17" s="114"/>
      <c r="L17" s="115"/>
      <c r="M17" s="115"/>
      <c r="N17" s="138"/>
      <c r="O17" s="174" t="str">
        <f t="shared" si="0"/>
        <v>도공</v>
      </c>
      <c r="P17" s="175" t="str">
        <f t="shared" si="1"/>
        <v>-</v>
      </c>
      <c r="Q17" s="175" t="str">
        <f t="shared" si="2"/>
        <v>2</v>
      </c>
      <c r="R17" s="139"/>
      <c r="S17" s="139"/>
      <c r="T17" s="139"/>
      <c r="U17" s="139"/>
    </row>
    <row r="18" spans="1:77" s="140" customFormat="1" ht="24.95" customHeight="1">
      <c r="A18" s="160">
        <v>13</v>
      </c>
      <c r="B18" s="111" t="s">
        <v>179</v>
      </c>
      <c r="C18" s="122" t="s">
        <v>101</v>
      </c>
      <c r="D18" s="112" t="s">
        <v>72</v>
      </c>
      <c r="E18" s="112">
        <v>36</v>
      </c>
      <c r="F18" s="112">
        <v>36</v>
      </c>
      <c r="G18" s="112">
        <v>11</v>
      </c>
      <c r="H18" s="112" t="s">
        <v>89</v>
      </c>
      <c r="I18" s="112" t="s">
        <v>90</v>
      </c>
      <c r="J18" s="114"/>
      <c r="K18" s="114"/>
      <c r="L18" s="114"/>
      <c r="M18" s="115"/>
      <c r="N18" s="202"/>
      <c r="O18" s="152" t="str">
        <f t="shared" si="0"/>
        <v>도공</v>
      </c>
      <c r="P18" s="153" t="str">
        <f t="shared" si="1"/>
        <v>-</v>
      </c>
      <c r="Q18" s="153" t="str">
        <f t="shared" si="2"/>
        <v>2</v>
      </c>
      <c r="R18" s="203"/>
      <c r="S18" s="139"/>
      <c r="T18" s="139"/>
      <c r="U18" s="139"/>
    </row>
    <row r="19" spans="1:77" s="204" customFormat="1" ht="24.95" customHeight="1">
      <c r="A19" s="245">
        <v>14</v>
      </c>
      <c r="B19" s="167" t="s">
        <v>179</v>
      </c>
      <c r="C19" s="206" t="s">
        <v>185</v>
      </c>
      <c r="D19" s="199" t="s">
        <v>72</v>
      </c>
      <c r="E19" s="199">
        <v>10</v>
      </c>
      <c r="F19" s="199">
        <v>10</v>
      </c>
      <c r="G19" s="199">
        <v>10</v>
      </c>
      <c r="H19" s="199" t="s">
        <v>186</v>
      </c>
      <c r="I19" s="199" t="s">
        <v>181</v>
      </c>
      <c r="J19" s="200"/>
      <c r="K19" s="200"/>
      <c r="L19" s="200"/>
      <c r="M19" s="201"/>
      <c r="N19" s="202"/>
      <c r="O19" s="152" t="str">
        <f t="shared" si="0"/>
        <v>도김*순</v>
      </c>
      <c r="P19" s="153" t="str">
        <f t="shared" si="1"/>
        <v>-</v>
      </c>
      <c r="Q19" s="153" t="str">
        <f t="shared" si="2"/>
        <v>2</v>
      </c>
      <c r="R19" s="203"/>
      <c r="S19" s="203"/>
      <c r="T19" s="203"/>
      <c r="U19" s="203"/>
    </row>
    <row r="20" spans="1:77" s="140" customFormat="1" ht="24.95" customHeight="1">
      <c r="A20" s="160">
        <v>15</v>
      </c>
      <c r="B20" s="111" t="s">
        <v>189</v>
      </c>
      <c r="C20" s="130" t="s">
        <v>102</v>
      </c>
      <c r="D20" s="112" t="s">
        <v>72</v>
      </c>
      <c r="E20" s="112">
        <v>115</v>
      </c>
      <c r="F20" s="112">
        <v>115</v>
      </c>
      <c r="G20" s="112">
        <v>115</v>
      </c>
      <c r="H20" s="112" t="s">
        <v>187</v>
      </c>
      <c r="I20" s="112" t="s">
        <v>188</v>
      </c>
      <c r="J20" s="114"/>
      <c r="K20" s="114"/>
      <c r="L20" s="114"/>
      <c r="M20" s="115"/>
      <c r="N20" s="138"/>
      <c r="O20" s="174" t="str">
        <f t="shared" si="0"/>
        <v>도이*춘</v>
      </c>
      <c r="P20" s="175" t="str">
        <f t="shared" si="1"/>
        <v>-</v>
      </c>
      <c r="Q20" s="175" t="str">
        <f t="shared" si="2"/>
        <v>2</v>
      </c>
      <c r="R20" s="139"/>
      <c r="S20" s="139"/>
      <c r="T20" s="139"/>
      <c r="U20" s="139"/>
    </row>
    <row r="21" spans="1:77" s="204" customFormat="1" ht="24.95" customHeight="1">
      <c r="A21" s="245">
        <v>16</v>
      </c>
      <c r="B21" s="167" t="s">
        <v>189</v>
      </c>
      <c r="C21" s="198" t="s">
        <v>190</v>
      </c>
      <c r="D21" s="199" t="s">
        <v>72</v>
      </c>
      <c r="E21" s="199">
        <v>160</v>
      </c>
      <c r="F21" s="199">
        <v>160</v>
      </c>
      <c r="G21" s="199">
        <v>160</v>
      </c>
      <c r="H21" s="199" t="s">
        <v>191</v>
      </c>
      <c r="I21" s="199"/>
      <c r="J21" s="200"/>
      <c r="K21" s="200"/>
      <c r="L21" s="200"/>
      <c r="M21" s="201"/>
      <c r="N21" s="202"/>
      <c r="O21" s="152" t="str">
        <f t="shared" si="0"/>
        <v>도방*준</v>
      </c>
      <c r="P21" s="153" t="str">
        <f t="shared" si="1"/>
        <v>-</v>
      </c>
      <c r="Q21" s="153" t="str">
        <f t="shared" si="2"/>
        <v>2</v>
      </c>
      <c r="R21" s="203"/>
      <c r="S21" s="203"/>
      <c r="T21" s="203"/>
      <c r="U21" s="203"/>
    </row>
    <row r="22" spans="1:77" s="140" customFormat="1" ht="24.95" customHeight="1">
      <c r="A22" s="160">
        <v>17</v>
      </c>
      <c r="B22" s="111" t="s">
        <v>189</v>
      </c>
      <c r="C22" s="130" t="s">
        <v>103</v>
      </c>
      <c r="D22" s="112" t="s">
        <v>72</v>
      </c>
      <c r="E22" s="112">
        <v>58</v>
      </c>
      <c r="F22" s="112">
        <v>58</v>
      </c>
      <c r="G22" s="112">
        <v>58</v>
      </c>
      <c r="H22" s="112" t="s">
        <v>192</v>
      </c>
      <c r="I22" s="112" t="s">
        <v>188</v>
      </c>
      <c r="J22" s="114"/>
      <c r="K22" s="114"/>
      <c r="L22" s="114"/>
      <c r="M22" s="115"/>
      <c r="N22" s="138"/>
      <c r="O22" s="174" t="str">
        <f t="shared" si="0"/>
        <v>도방*배</v>
      </c>
      <c r="P22" s="175" t="str">
        <f t="shared" si="1"/>
        <v>-</v>
      </c>
      <c r="Q22" s="175" t="str">
        <f t="shared" si="2"/>
        <v>2</v>
      </c>
      <c r="R22" s="139"/>
      <c r="S22" s="139"/>
      <c r="T22" s="139"/>
      <c r="U22" s="139"/>
    </row>
    <row r="23" spans="1:77" s="140" customFormat="1" ht="24.95" customHeight="1">
      <c r="A23" s="160">
        <v>18</v>
      </c>
      <c r="B23" s="111" t="s">
        <v>193</v>
      </c>
      <c r="C23" s="130" t="s">
        <v>104</v>
      </c>
      <c r="D23" s="112" t="s">
        <v>72</v>
      </c>
      <c r="E23" s="112">
        <v>8</v>
      </c>
      <c r="F23" s="112">
        <v>8</v>
      </c>
      <c r="G23" s="112">
        <v>8</v>
      </c>
      <c r="H23" s="112" t="s">
        <v>89</v>
      </c>
      <c r="I23" s="112" t="s">
        <v>90</v>
      </c>
      <c r="J23" s="114"/>
      <c r="K23" s="114"/>
      <c r="L23" s="114"/>
      <c r="M23" s="115"/>
      <c r="N23" s="138"/>
      <c r="O23" s="174" t="str">
        <f t="shared" si="0"/>
        <v>도공</v>
      </c>
      <c r="P23" s="175" t="str">
        <f t="shared" si="1"/>
        <v>-</v>
      </c>
      <c r="Q23" s="175" t="str">
        <f t="shared" si="2"/>
        <v>2</v>
      </c>
      <c r="R23" s="139"/>
      <c r="S23" s="139"/>
      <c r="T23" s="139"/>
      <c r="U23" s="139"/>
    </row>
    <row r="24" spans="1:77" s="140" customFormat="1" ht="24.95" customHeight="1">
      <c r="A24" s="160">
        <v>19</v>
      </c>
      <c r="B24" s="111" t="s">
        <v>189</v>
      </c>
      <c r="C24" s="130" t="s">
        <v>105</v>
      </c>
      <c r="D24" s="112" t="s">
        <v>72</v>
      </c>
      <c r="E24" s="112">
        <v>66</v>
      </c>
      <c r="F24" s="112">
        <v>66</v>
      </c>
      <c r="G24" s="112">
        <v>66</v>
      </c>
      <c r="H24" s="112" t="s">
        <v>89</v>
      </c>
      <c r="I24" s="112" t="s">
        <v>90</v>
      </c>
      <c r="J24" s="114"/>
      <c r="K24" s="114"/>
      <c r="L24" s="114"/>
      <c r="M24" s="115"/>
      <c r="N24" s="138"/>
      <c r="O24" s="174" t="str">
        <f t="shared" si="0"/>
        <v>도공</v>
      </c>
      <c r="P24" s="175" t="str">
        <f t="shared" si="1"/>
        <v>-</v>
      </c>
      <c r="Q24" s="175" t="str">
        <f t="shared" si="2"/>
        <v>2</v>
      </c>
      <c r="R24" s="139"/>
      <c r="S24" s="139"/>
      <c r="T24" s="139"/>
      <c r="U24" s="139"/>
    </row>
    <row r="25" spans="1:77" s="140" customFormat="1" ht="24.95" customHeight="1">
      <c r="A25" s="160">
        <v>20</v>
      </c>
      <c r="B25" s="111" t="s">
        <v>189</v>
      </c>
      <c r="C25" s="130" t="s">
        <v>106</v>
      </c>
      <c r="D25" s="112" t="s">
        <v>72</v>
      </c>
      <c r="E25" s="112">
        <v>507</v>
      </c>
      <c r="F25" s="112">
        <v>507</v>
      </c>
      <c r="G25" s="112">
        <v>369</v>
      </c>
      <c r="H25" s="112" t="s">
        <v>89</v>
      </c>
      <c r="I25" s="112" t="s">
        <v>90</v>
      </c>
      <c r="J25" s="114"/>
      <c r="K25" s="114"/>
      <c r="L25" s="114"/>
      <c r="M25" s="115"/>
      <c r="N25" s="202"/>
      <c r="O25" s="152" t="str">
        <f t="shared" si="0"/>
        <v>도공</v>
      </c>
      <c r="P25" s="153" t="str">
        <f t="shared" si="1"/>
        <v>-</v>
      </c>
      <c r="Q25" s="153" t="str">
        <f t="shared" si="2"/>
        <v>2</v>
      </c>
      <c r="R25" s="203"/>
      <c r="S25" s="139"/>
      <c r="T25" s="139"/>
      <c r="U25" s="139"/>
    </row>
    <row r="26" spans="1:77" s="204" customFormat="1" ht="24.95" customHeight="1">
      <c r="A26" s="245">
        <v>21</v>
      </c>
      <c r="B26" s="167" t="s">
        <v>189</v>
      </c>
      <c r="C26" s="198" t="s">
        <v>194</v>
      </c>
      <c r="D26" s="199" t="s">
        <v>77</v>
      </c>
      <c r="E26" s="199">
        <v>8</v>
      </c>
      <c r="F26" s="199">
        <v>0</v>
      </c>
      <c r="G26" s="199">
        <v>8</v>
      </c>
      <c r="H26" s="199" t="s">
        <v>195</v>
      </c>
      <c r="I26" s="199" t="s">
        <v>196</v>
      </c>
      <c r="J26" s="200"/>
      <c r="K26" s="200"/>
      <c r="L26" s="200"/>
      <c r="M26" s="201"/>
      <c r="N26" s="202"/>
      <c r="O26" s="152" t="str">
        <f t="shared" si="0"/>
        <v>대박*택</v>
      </c>
      <c r="P26" s="153" t="str">
        <f t="shared" si="1"/>
        <v>-</v>
      </c>
      <c r="Q26" s="153" t="str">
        <f t="shared" si="2"/>
        <v>1</v>
      </c>
      <c r="R26" s="203"/>
      <c r="S26" s="203"/>
      <c r="T26" s="203"/>
      <c r="U26" s="203"/>
    </row>
    <row r="27" spans="1:77" s="204" customFormat="1" ht="24.95" customHeight="1">
      <c r="A27" s="245">
        <v>22</v>
      </c>
      <c r="B27" s="167" t="s">
        <v>189</v>
      </c>
      <c r="C27" s="206" t="s">
        <v>197</v>
      </c>
      <c r="D27" s="199" t="s">
        <v>5</v>
      </c>
      <c r="E27" s="199">
        <v>251</v>
      </c>
      <c r="F27" s="199">
        <v>5</v>
      </c>
      <c r="G27" s="199">
        <v>251</v>
      </c>
      <c r="H27" s="199" t="s">
        <v>195</v>
      </c>
      <c r="I27" s="199" t="s">
        <v>196</v>
      </c>
      <c r="J27" s="200"/>
      <c r="K27" s="200"/>
      <c r="L27" s="200"/>
      <c r="M27" s="201"/>
      <c r="N27" s="202"/>
      <c r="O27" s="152" t="str">
        <f t="shared" si="0"/>
        <v>전박*택</v>
      </c>
      <c r="P27" s="153" t="str">
        <f t="shared" si="1"/>
        <v>-</v>
      </c>
      <c r="Q27" s="153" t="str">
        <f t="shared" si="2"/>
        <v>2</v>
      </c>
      <c r="R27" s="203"/>
      <c r="S27" s="203"/>
      <c r="T27" s="203"/>
      <c r="U27" s="203"/>
    </row>
    <row r="28" spans="1:77" s="140" customFormat="1" ht="24.95" customHeight="1">
      <c r="A28" s="160">
        <v>23</v>
      </c>
      <c r="B28" s="111" t="s">
        <v>198</v>
      </c>
      <c r="C28" s="122" t="s">
        <v>107</v>
      </c>
      <c r="D28" s="112" t="s">
        <v>72</v>
      </c>
      <c r="E28" s="112">
        <v>198</v>
      </c>
      <c r="F28" s="112">
        <v>198</v>
      </c>
      <c r="G28" s="146">
        <v>198</v>
      </c>
      <c r="H28" s="112" t="s">
        <v>87</v>
      </c>
      <c r="I28" s="112" t="s">
        <v>123</v>
      </c>
      <c r="J28" s="114"/>
      <c r="K28" s="114"/>
      <c r="L28" s="114"/>
      <c r="M28" s="115"/>
      <c r="N28" s="138"/>
      <c r="O28" s="174" t="str">
        <f t="shared" si="0"/>
        <v>도국</v>
      </c>
      <c r="P28" s="175" t="str">
        <f t="shared" si="1"/>
        <v>-</v>
      </c>
      <c r="Q28" s="175" t="str">
        <f t="shared" si="2"/>
        <v>2</v>
      </c>
      <c r="R28" s="139"/>
      <c r="S28" s="139"/>
      <c r="T28" s="139"/>
      <c r="U28" s="139"/>
    </row>
    <row r="29" spans="1:77" s="140" customFormat="1" ht="24.95" customHeight="1">
      <c r="A29" s="160">
        <v>24</v>
      </c>
      <c r="B29" s="111" t="s">
        <v>189</v>
      </c>
      <c r="C29" s="122" t="s">
        <v>108</v>
      </c>
      <c r="D29" s="112" t="s">
        <v>72</v>
      </c>
      <c r="E29" s="112">
        <v>108</v>
      </c>
      <c r="F29" s="112">
        <v>108</v>
      </c>
      <c r="G29" s="146">
        <v>108</v>
      </c>
      <c r="H29" s="112" t="s">
        <v>89</v>
      </c>
      <c r="I29" s="112" t="s">
        <v>90</v>
      </c>
      <c r="J29" s="114"/>
      <c r="K29" s="114"/>
      <c r="L29" s="114"/>
      <c r="M29" s="115"/>
      <c r="N29" s="138"/>
      <c r="O29" s="174" t="str">
        <f t="shared" si="0"/>
        <v>도공</v>
      </c>
      <c r="P29" s="175" t="str">
        <f t="shared" si="1"/>
        <v>-</v>
      </c>
      <c r="Q29" s="175" t="str">
        <f t="shared" si="2"/>
        <v>2</v>
      </c>
      <c r="R29" s="139"/>
      <c r="S29" s="139"/>
      <c r="T29" s="139"/>
      <c r="U29" s="139"/>
    </row>
    <row r="30" spans="1:77" s="140" customFormat="1" ht="24.95" customHeight="1">
      <c r="A30" s="160">
        <v>25</v>
      </c>
      <c r="B30" s="111" t="s">
        <v>199</v>
      </c>
      <c r="C30" s="130" t="s">
        <v>109</v>
      </c>
      <c r="D30" s="112" t="s">
        <v>82</v>
      </c>
      <c r="E30" s="112">
        <v>5508</v>
      </c>
      <c r="F30" s="112">
        <v>0</v>
      </c>
      <c r="G30" s="112">
        <v>86</v>
      </c>
      <c r="H30" s="112" t="s">
        <v>87</v>
      </c>
      <c r="I30" s="112" t="s">
        <v>88</v>
      </c>
      <c r="J30" s="114"/>
      <c r="K30" s="114"/>
      <c r="L30" s="114"/>
      <c r="M30" s="115"/>
      <c r="N30" s="138"/>
      <c r="O30" s="174" t="str">
        <f t="shared" si="0"/>
        <v>구국</v>
      </c>
      <c r="P30" s="175" t="str">
        <f t="shared" si="1"/>
        <v>-</v>
      </c>
      <c r="Q30" s="175" t="str">
        <f t="shared" si="2"/>
        <v>1</v>
      </c>
      <c r="R30" s="175"/>
      <c r="S30" s="139"/>
      <c r="T30" s="139"/>
      <c r="U30" s="139"/>
    </row>
    <row r="31" spans="1:77" s="211" customFormat="1" ht="24.95" hidden="1" customHeight="1">
      <c r="A31" s="207" t="s">
        <v>200</v>
      </c>
      <c r="B31" s="207"/>
      <c r="C31" s="207"/>
      <c r="D31" s="141"/>
      <c r="E31" s="208"/>
      <c r="F31" s="208">
        <f>SUM(F6:F29)</f>
        <v>2950</v>
      </c>
      <c r="G31" s="208">
        <f>SUM(G6:G29)</f>
        <v>3947</v>
      </c>
      <c r="H31" s="141"/>
      <c r="I31" s="141"/>
      <c r="J31" s="141"/>
      <c r="K31" s="141"/>
      <c r="L31" s="141"/>
      <c r="M31" s="209"/>
      <c r="N31" s="138"/>
      <c r="O31" s="138" t="str">
        <f t="shared" si="0"/>
        <v/>
      </c>
      <c r="P31" s="139"/>
      <c r="Q31" s="139"/>
      <c r="R31" s="139"/>
      <c r="S31" s="139"/>
      <c r="T31" s="139"/>
      <c r="U31" s="139"/>
      <c r="V31" s="210"/>
      <c r="W31" s="210"/>
      <c r="X31" s="210"/>
      <c r="Y31" s="210"/>
      <c r="Z31" s="210"/>
      <c r="AA31" s="210"/>
      <c r="AB31" s="210"/>
      <c r="AC31" s="210"/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  <c r="BI31" s="210"/>
      <c r="BJ31" s="210"/>
      <c r="BK31" s="210"/>
      <c r="BL31" s="210"/>
      <c r="BM31" s="210"/>
      <c r="BN31" s="210"/>
      <c r="BO31" s="210"/>
      <c r="BP31" s="210"/>
      <c r="BQ31" s="210"/>
      <c r="BR31" s="210"/>
      <c r="BS31" s="210"/>
      <c r="BT31" s="210"/>
      <c r="BU31" s="210"/>
      <c r="BV31" s="210"/>
      <c r="BW31" s="210"/>
      <c r="BX31" s="210"/>
      <c r="BY31" s="210"/>
    </row>
    <row r="32" spans="1:77" s="140" customFormat="1" ht="24.95" customHeight="1">
      <c r="A32" s="160">
        <v>26</v>
      </c>
      <c r="B32" s="111" t="s">
        <v>198</v>
      </c>
      <c r="C32" s="130" t="s">
        <v>110</v>
      </c>
      <c r="D32" s="112" t="s">
        <v>72</v>
      </c>
      <c r="E32" s="112">
        <v>1640</v>
      </c>
      <c r="F32" s="112">
        <v>0</v>
      </c>
      <c r="G32" s="112">
        <v>21</v>
      </c>
      <c r="H32" s="112" t="s">
        <v>87</v>
      </c>
      <c r="I32" s="112" t="s">
        <v>88</v>
      </c>
      <c r="J32" s="114"/>
      <c r="K32" s="114"/>
      <c r="L32" s="114"/>
      <c r="M32" s="115"/>
      <c r="N32" s="138"/>
      <c r="O32" s="174" t="str">
        <f t="shared" si="0"/>
        <v>도국</v>
      </c>
      <c r="P32" s="175" t="str">
        <f t="shared" ref="P32:P42" si="3">IF(E32&gt;=G32,"-","err")</f>
        <v>-</v>
      </c>
      <c r="Q32" s="175" t="str">
        <f t="shared" ref="Q32:Q42" si="4">IF(F32=0,"1","2")</f>
        <v>1</v>
      </c>
      <c r="R32" s="139"/>
      <c r="S32" s="139"/>
      <c r="T32" s="139"/>
      <c r="U32" s="139"/>
    </row>
    <row r="33" spans="1:21" s="140" customFormat="1" ht="24.95" customHeight="1">
      <c r="A33" s="160">
        <v>27</v>
      </c>
      <c r="B33" s="111" t="s">
        <v>189</v>
      </c>
      <c r="C33" s="122" t="s">
        <v>111</v>
      </c>
      <c r="D33" s="112" t="s">
        <v>72</v>
      </c>
      <c r="E33" s="112">
        <v>1547</v>
      </c>
      <c r="F33" s="112">
        <v>0</v>
      </c>
      <c r="G33" s="112">
        <v>1</v>
      </c>
      <c r="H33" s="112" t="s">
        <v>87</v>
      </c>
      <c r="I33" s="112" t="s">
        <v>88</v>
      </c>
      <c r="J33" s="114"/>
      <c r="K33" s="114"/>
      <c r="L33" s="114"/>
      <c r="M33" s="115"/>
      <c r="N33" s="138"/>
      <c r="O33" s="174" t="str">
        <f t="shared" si="0"/>
        <v>도국</v>
      </c>
      <c r="P33" s="175" t="str">
        <f t="shared" si="3"/>
        <v>-</v>
      </c>
      <c r="Q33" s="175" t="str">
        <f t="shared" si="4"/>
        <v>1</v>
      </c>
      <c r="R33" s="139"/>
      <c r="S33" s="139"/>
      <c r="T33" s="139"/>
      <c r="U33" s="139"/>
    </row>
    <row r="34" spans="1:21" s="204" customFormat="1" ht="24.95" customHeight="1">
      <c r="A34" s="245">
        <v>28</v>
      </c>
      <c r="B34" s="167" t="s">
        <v>189</v>
      </c>
      <c r="C34" s="206" t="s">
        <v>201</v>
      </c>
      <c r="D34" s="199" t="s">
        <v>6</v>
      </c>
      <c r="E34" s="199">
        <v>12</v>
      </c>
      <c r="F34" s="199">
        <v>0</v>
      </c>
      <c r="G34" s="199">
        <v>12</v>
      </c>
      <c r="H34" s="199" t="s">
        <v>202</v>
      </c>
      <c r="I34" s="199" t="s">
        <v>188</v>
      </c>
      <c r="J34" s="200" t="s">
        <v>203</v>
      </c>
      <c r="K34" s="200" t="s">
        <v>204</v>
      </c>
      <c r="L34" s="200" t="s">
        <v>205</v>
      </c>
      <c r="M34" s="201"/>
      <c r="N34" s="202"/>
      <c r="O34" s="152" t="str">
        <f t="shared" si="0"/>
        <v>답김*순</v>
      </c>
      <c r="P34" s="153" t="str">
        <f t="shared" si="3"/>
        <v>-</v>
      </c>
      <c r="Q34" s="153" t="str">
        <f t="shared" si="4"/>
        <v>1</v>
      </c>
      <c r="R34" s="203"/>
      <c r="S34" s="203"/>
      <c r="T34" s="203"/>
      <c r="U34" s="203"/>
    </row>
    <row r="35" spans="1:21" s="204" customFormat="1" ht="24.95" customHeight="1">
      <c r="A35" s="245">
        <v>29</v>
      </c>
      <c r="B35" s="167" t="s">
        <v>189</v>
      </c>
      <c r="C35" s="206" t="s">
        <v>206</v>
      </c>
      <c r="D35" s="199" t="s">
        <v>207</v>
      </c>
      <c r="E35" s="199">
        <v>117</v>
      </c>
      <c r="F35" s="199"/>
      <c r="G35" s="199">
        <v>117</v>
      </c>
      <c r="H35" s="199" t="s">
        <v>202</v>
      </c>
      <c r="I35" s="199" t="s">
        <v>188</v>
      </c>
      <c r="J35" s="200" t="s">
        <v>203</v>
      </c>
      <c r="K35" s="200" t="s">
        <v>204</v>
      </c>
      <c r="L35" s="200" t="s">
        <v>205</v>
      </c>
      <c r="M35" s="201"/>
      <c r="N35" s="202"/>
      <c r="O35" s="152" t="str">
        <f t="shared" si="0"/>
        <v>답김*순</v>
      </c>
      <c r="P35" s="153" t="str">
        <f t="shared" si="3"/>
        <v>-</v>
      </c>
      <c r="Q35" s="153" t="str">
        <f t="shared" si="4"/>
        <v>1</v>
      </c>
      <c r="R35" s="203"/>
      <c r="S35" s="203"/>
      <c r="T35" s="203"/>
      <c r="U35" s="203"/>
    </row>
    <row r="36" spans="1:21" s="140" customFormat="1" ht="24.95" customHeight="1">
      <c r="A36" s="160">
        <v>30</v>
      </c>
      <c r="B36" s="111" t="s">
        <v>189</v>
      </c>
      <c r="C36" s="130" t="s">
        <v>112</v>
      </c>
      <c r="D36" s="112" t="s">
        <v>82</v>
      </c>
      <c r="E36" s="112">
        <v>3792</v>
      </c>
      <c r="F36" s="112">
        <v>9</v>
      </c>
      <c r="G36" s="112">
        <v>3769</v>
      </c>
      <c r="H36" s="112" t="s">
        <v>87</v>
      </c>
      <c r="I36" s="112" t="s">
        <v>88</v>
      </c>
      <c r="J36" s="114"/>
      <c r="K36" s="114"/>
      <c r="L36" s="114"/>
      <c r="M36" s="115"/>
      <c r="N36" s="202"/>
      <c r="O36" s="152" t="str">
        <f t="shared" si="0"/>
        <v>구국</v>
      </c>
      <c r="P36" s="153" t="str">
        <f t="shared" si="3"/>
        <v>-</v>
      </c>
      <c r="Q36" s="153" t="str">
        <f t="shared" si="4"/>
        <v>2</v>
      </c>
      <c r="R36" s="203"/>
      <c r="S36" s="139"/>
      <c r="T36" s="139"/>
      <c r="U36" s="139"/>
    </row>
    <row r="37" spans="1:21" s="140" customFormat="1" ht="24.95" customHeight="1">
      <c r="A37" s="160">
        <v>31</v>
      </c>
      <c r="B37" s="111" t="s">
        <v>179</v>
      </c>
      <c r="C37" s="130" t="s">
        <v>113</v>
      </c>
      <c r="D37" s="112" t="s">
        <v>72</v>
      </c>
      <c r="E37" s="112">
        <v>1444</v>
      </c>
      <c r="F37" s="112">
        <v>0</v>
      </c>
      <c r="G37" s="112">
        <v>3</v>
      </c>
      <c r="H37" s="112" t="s">
        <v>87</v>
      </c>
      <c r="I37" s="112" t="s">
        <v>88</v>
      </c>
      <c r="J37" s="114"/>
      <c r="K37" s="114"/>
      <c r="L37" s="114"/>
      <c r="M37" s="115"/>
      <c r="N37" s="138"/>
      <c r="O37" s="174" t="str">
        <f t="shared" si="0"/>
        <v>도국</v>
      </c>
      <c r="P37" s="175" t="str">
        <f t="shared" si="3"/>
        <v>-</v>
      </c>
      <c r="Q37" s="175" t="str">
        <f t="shared" si="4"/>
        <v>1</v>
      </c>
      <c r="R37" s="139"/>
      <c r="S37" s="139"/>
      <c r="T37" s="139"/>
      <c r="U37" s="139"/>
    </row>
    <row r="38" spans="1:21" s="204" customFormat="1" ht="24.95" customHeight="1">
      <c r="A38" s="160">
        <v>32</v>
      </c>
      <c r="B38" s="111" t="s">
        <v>208</v>
      </c>
      <c r="C38" s="130" t="s">
        <v>114</v>
      </c>
      <c r="D38" s="112" t="s">
        <v>82</v>
      </c>
      <c r="E38" s="112">
        <v>3632</v>
      </c>
      <c r="F38" s="112">
        <v>0</v>
      </c>
      <c r="G38" s="112">
        <v>22</v>
      </c>
      <c r="H38" s="112" t="s">
        <v>87</v>
      </c>
      <c r="I38" s="112" t="s">
        <v>88</v>
      </c>
      <c r="J38" s="114"/>
      <c r="K38" s="114"/>
      <c r="L38" s="114"/>
      <c r="M38" s="115"/>
      <c r="N38" s="138"/>
      <c r="O38" s="174" t="str">
        <f t="shared" si="0"/>
        <v>구국</v>
      </c>
      <c r="P38" s="175" t="str">
        <f t="shared" si="3"/>
        <v>-</v>
      </c>
      <c r="Q38" s="175" t="str">
        <f t="shared" si="4"/>
        <v>1</v>
      </c>
      <c r="R38" s="139"/>
      <c r="S38" s="203"/>
      <c r="T38" s="203"/>
      <c r="U38" s="203"/>
    </row>
    <row r="39" spans="1:21" s="140" customFormat="1" ht="24.95" customHeight="1">
      <c r="A39" s="160">
        <v>33</v>
      </c>
      <c r="B39" s="111" t="s">
        <v>209</v>
      </c>
      <c r="C39" s="130" t="s">
        <v>115</v>
      </c>
      <c r="D39" s="112" t="s">
        <v>72</v>
      </c>
      <c r="E39" s="112">
        <v>1451</v>
      </c>
      <c r="F39" s="112">
        <v>0</v>
      </c>
      <c r="G39" s="112">
        <v>13</v>
      </c>
      <c r="H39" s="112" t="s">
        <v>87</v>
      </c>
      <c r="I39" s="112" t="s">
        <v>88</v>
      </c>
      <c r="J39" s="114"/>
      <c r="K39" s="114"/>
      <c r="L39" s="114"/>
      <c r="M39" s="115"/>
      <c r="N39" s="138"/>
      <c r="O39" s="174" t="str">
        <f t="shared" si="0"/>
        <v>도국</v>
      </c>
      <c r="P39" s="175" t="str">
        <f t="shared" si="3"/>
        <v>-</v>
      </c>
      <c r="Q39" s="175" t="str">
        <f t="shared" si="4"/>
        <v>1</v>
      </c>
      <c r="R39" s="139"/>
      <c r="S39" s="139"/>
      <c r="T39" s="139"/>
      <c r="U39" s="139"/>
    </row>
    <row r="40" spans="1:21" s="204" customFormat="1" ht="24.95" customHeight="1">
      <c r="A40" s="245">
        <v>34</v>
      </c>
      <c r="B40" s="167" t="s">
        <v>209</v>
      </c>
      <c r="C40" s="206" t="s">
        <v>210</v>
      </c>
      <c r="D40" s="199" t="s">
        <v>6</v>
      </c>
      <c r="E40" s="199">
        <v>191</v>
      </c>
      <c r="F40" s="199">
        <v>0</v>
      </c>
      <c r="G40" s="199">
        <v>191</v>
      </c>
      <c r="H40" s="199" t="s">
        <v>211</v>
      </c>
      <c r="I40" s="199" t="s">
        <v>212</v>
      </c>
      <c r="J40" s="200" t="s">
        <v>213</v>
      </c>
      <c r="K40" s="200" t="s">
        <v>214</v>
      </c>
      <c r="L40" s="200" t="s">
        <v>215</v>
      </c>
      <c r="M40" s="201"/>
      <c r="N40" s="202"/>
      <c r="O40" s="152" t="str">
        <f t="shared" si="0"/>
        <v>답김*기</v>
      </c>
      <c r="P40" s="153" t="str">
        <f t="shared" si="3"/>
        <v>-</v>
      </c>
      <c r="Q40" s="153" t="str">
        <f t="shared" si="4"/>
        <v>1</v>
      </c>
      <c r="R40" s="203"/>
      <c r="S40" s="203"/>
      <c r="T40" s="203"/>
      <c r="U40" s="203"/>
    </row>
    <row r="41" spans="1:21" s="140" customFormat="1" ht="24.95" customHeight="1">
      <c r="A41" s="160">
        <v>35</v>
      </c>
      <c r="B41" s="111" t="s">
        <v>209</v>
      </c>
      <c r="C41" s="130" t="s">
        <v>116</v>
      </c>
      <c r="D41" s="112" t="s">
        <v>72</v>
      </c>
      <c r="E41" s="112">
        <v>66</v>
      </c>
      <c r="F41" s="112">
        <v>66</v>
      </c>
      <c r="G41" s="112">
        <v>66</v>
      </c>
      <c r="H41" s="112" t="s">
        <v>89</v>
      </c>
      <c r="I41" s="112" t="s">
        <v>90</v>
      </c>
      <c r="J41" s="114"/>
      <c r="K41" s="114"/>
      <c r="L41" s="114"/>
      <c r="M41" s="115"/>
      <c r="N41" s="138"/>
      <c r="O41" s="174" t="str">
        <f t="shared" si="0"/>
        <v>도공</v>
      </c>
      <c r="P41" s="175" t="str">
        <f t="shared" si="3"/>
        <v>-</v>
      </c>
      <c r="Q41" s="175" t="str">
        <f t="shared" si="4"/>
        <v>2</v>
      </c>
      <c r="R41" s="139"/>
      <c r="S41" s="139"/>
      <c r="T41" s="139"/>
      <c r="U41" s="139"/>
    </row>
    <row r="42" spans="1:21" s="140" customFormat="1" ht="24.95" customHeight="1">
      <c r="A42" s="160">
        <v>36</v>
      </c>
      <c r="B42" s="111" t="s">
        <v>209</v>
      </c>
      <c r="C42" s="130" t="s">
        <v>117</v>
      </c>
      <c r="D42" s="112" t="s">
        <v>72</v>
      </c>
      <c r="E42" s="112">
        <v>65</v>
      </c>
      <c r="F42" s="112">
        <v>65</v>
      </c>
      <c r="G42" s="112">
        <v>65</v>
      </c>
      <c r="H42" s="112" t="s">
        <v>216</v>
      </c>
      <c r="I42" s="112" t="s">
        <v>212</v>
      </c>
      <c r="J42" s="177"/>
      <c r="K42" s="177"/>
      <c r="L42" s="177"/>
      <c r="M42" s="178"/>
      <c r="N42" s="202"/>
      <c r="O42" s="152" t="str">
        <f t="shared" si="0"/>
        <v>도김*수</v>
      </c>
      <c r="P42" s="153" t="str">
        <f t="shared" si="3"/>
        <v>-</v>
      </c>
      <c r="Q42" s="153" t="str">
        <f t="shared" si="4"/>
        <v>2</v>
      </c>
      <c r="R42" s="203"/>
      <c r="S42" s="139"/>
      <c r="T42" s="139"/>
      <c r="U42" s="139"/>
    </row>
    <row r="43" spans="1:21" s="211" customFormat="1" ht="24.95" hidden="1" customHeight="1">
      <c r="A43" s="406">
        <v>37</v>
      </c>
      <c r="B43" s="111"/>
      <c r="C43" s="122"/>
      <c r="D43" s="112"/>
      <c r="E43" s="112"/>
      <c r="F43" s="112"/>
      <c r="G43" s="112"/>
      <c r="H43" s="112" t="s">
        <v>217</v>
      </c>
      <c r="I43" s="229" t="s">
        <v>218</v>
      </c>
      <c r="J43" s="114">
        <v>1</v>
      </c>
      <c r="K43" s="114"/>
      <c r="L43" s="114"/>
      <c r="M43" s="230">
        <v>331</v>
      </c>
      <c r="N43" s="231"/>
      <c r="O43" s="231"/>
      <c r="P43" s="232"/>
      <c r="Q43" s="232"/>
      <c r="R43" s="232"/>
      <c r="S43" s="232"/>
      <c r="T43" s="232"/>
      <c r="U43" s="232"/>
    </row>
    <row r="44" spans="1:21" s="211" customFormat="1" ht="24.95" hidden="1" customHeight="1">
      <c r="A44" s="406"/>
      <c r="B44" s="111"/>
      <c r="C44" s="122"/>
      <c r="D44" s="112"/>
      <c r="E44" s="112"/>
      <c r="F44" s="112"/>
      <c r="G44" s="112"/>
      <c r="H44" s="112" t="s">
        <v>219</v>
      </c>
      <c r="I44" s="229" t="s">
        <v>220</v>
      </c>
      <c r="J44" s="114"/>
      <c r="K44" s="114"/>
      <c r="L44" s="114"/>
      <c r="M44" s="230">
        <v>331</v>
      </c>
      <c r="N44" s="231"/>
      <c r="O44" s="231"/>
      <c r="P44" s="232"/>
      <c r="Q44" s="232"/>
      <c r="R44" s="232"/>
      <c r="S44" s="232"/>
      <c r="T44" s="232"/>
      <c r="U44" s="232"/>
    </row>
    <row r="45" spans="1:21" s="211" customFormat="1" ht="24.95" hidden="1" customHeight="1">
      <c r="A45" s="406"/>
      <c r="B45" s="111"/>
      <c r="C45" s="122"/>
      <c r="D45" s="112"/>
      <c r="E45" s="112"/>
      <c r="F45" s="112"/>
      <c r="G45" s="112"/>
      <c r="H45" s="112" t="s">
        <v>221</v>
      </c>
      <c r="I45" s="229" t="s">
        <v>222</v>
      </c>
      <c r="J45" s="114"/>
      <c r="K45" s="114"/>
      <c r="L45" s="114"/>
      <c r="M45" s="230">
        <v>1653</v>
      </c>
      <c r="N45" s="231"/>
      <c r="O45" s="231"/>
      <c r="P45" s="232"/>
      <c r="Q45" s="232"/>
      <c r="R45" s="232"/>
      <c r="S45" s="232"/>
      <c r="T45" s="232"/>
      <c r="U45" s="232"/>
    </row>
    <row r="46" spans="1:21" s="211" customFormat="1" ht="24.95" hidden="1" customHeight="1">
      <c r="A46" s="406"/>
      <c r="B46" s="111"/>
      <c r="C46" s="122"/>
      <c r="D46" s="112"/>
      <c r="E46" s="112"/>
      <c r="F46" s="112"/>
      <c r="G46" s="112"/>
      <c r="H46" s="112" t="s">
        <v>223</v>
      </c>
      <c r="I46" s="229" t="s">
        <v>224</v>
      </c>
      <c r="J46" s="114"/>
      <c r="K46" s="114"/>
      <c r="L46" s="114"/>
      <c r="M46" s="230">
        <v>992</v>
      </c>
      <c r="N46" s="231"/>
      <c r="O46" s="231"/>
      <c r="P46" s="232"/>
      <c r="Q46" s="232"/>
      <c r="R46" s="232"/>
      <c r="S46" s="232"/>
      <c r="T46" s="232"/>
      <c r="U46" s="232"/>
    </row>
    <row r="47" spans="1:21" s="211" customFormat="1" ht="24.95" hidden="1" customHeight="1">
      <c r="A47" s="406"/>
      <c r="B47" s="111"/>
      <c r="C47" s="122"/>
      <c r="D47" s="112"/>
      <c r="E47" s="112"/>
      <c r="F47" s="112"/>
      <c r="G47" s="112"/>
      <c r="H47" s="112" t="s">
        <v>225</v>
      </c>
      <c r="I47" s="229" t="s">
        <v>226</v>
      </c>
      <c r="J47" s="114"/>
      <c r="K47" s="114"/>
      <c r="L47" s="114"/>
      <c r="M47" s="230">
        <v>661</v>
      </c>
      <c r="N47" s="231"/>
      <c r="O47" s="231"/>
      <c r="P47" s="232"/>
      <c r="Q47" s="232"/>
      <c r="R47" s="232"/>
      <c r="S47" s="232"/>
      <c r="T47" s="232"/>
      <c r="U47" s="232"/>
    </row>
    <row r="48" spans="1:21" s="211" customFormat="1" ht="24.95" hidden="1" customHeight="1">
      <c r="A48" s="406"/>
      <c r="B48" s="111"/>
      <c r="C48" s="122"/>
      <c r="D48" s="112"/>
      <c r="E48" s="112"/>
      <c r="F48" s="112"/>
      <c r="G48" s="112"/>
      <c r="H48" s="112" t="s">
        <v>227</v>
      </c>
      <c r="I48" s="229" t="s">
        <v>228</v>
      </c>
      <c r="J48" s="114"/>
      <c r="K48" s="114"/>
      <c r="L48" s="114"/>
      <c r="M48" s="230">
        <v>661</v>
      </c>
      <c r="N48" s="231"/>
      <c r="O48" s="231"/>
      <c r="P48" s="232"/>
      <c r="Q48" s="232"/>
      <c r="R48" s="232"/>
      <c r="S48" s="232"/>
      <c r="T48" s="232"/>
      <c r="U48" s="232"/>
    </row>
    <row r="49" spans="1:21" s="211" customFormat="1" ht="24.95" hidden="1" customHeight="1">
      <c r="A49" s="406"/>
      <c r="B49" s="111"/>
      <c r="C49" s="122"/>
      <c r="D49" s="112"/>
      <c r="E49" s="112"/>
      <c r="F49" s="112"/>
      <c r="G49" s="112"/>
      <c r="H49" s="112" t="s">
        <v>229</v>
      </c>
      <c r="I49" s="229" t="s">
        <v>230</v>
      </c>
      <c r="J49" s="114"/>
      <c r="K49" s="114"/>
      <c r="L49" s="114"/>
      <c r="M49" s="230">
        <v>1322</v>
      </c>
      <c r="N49" s="231"/>
      <c r="O49" s="231"/>
      <c r="P49" s="232"/>
      <c r="Q49" s="232"/>
      <c r="R49" s="232"/>
      <c r="S49" s="232"/>
      <c r="T49" s="232"/>
      <c r="U49" s="232"/>
    </row>
    <row r="50" spans="1:21" s="211" customFormat="1" ht="24.95" hidden="1" customHeight="1">
      <c r="A50" s="406"/>
      <c r="B50" s="111"/>
      <c r="C50" s="122"/>
      <c r="D50" s="112"/>
      <c r="E50" s="112"/>
      <c r="F50" s="112"/>
      <c r="G50" s="112"/>
      <c r="H50" s="112" t="s">
        <v>231</v>
      </c>
      <c r="I50" s="229" t="s">
        <v>232</v>
      </c>
      <c r="J50" s="114"/>
      <c r="K50" s="114"/>
      <c r="L50" s="114"/>
      <c r="M50" s="230">
        <v>661</v>
      </c>
      <c r="N50" s="231"/>
      <c r="O50" s="231"/>
      <c r="P50" s="232"/>
      <c r="Q50" s="232"/>
      <c r="R50" s="232"/>
      <c r="S50" s="232"/>
      <c r="T50" s="232"/>
      <c r="U50" s="232"/>
    </row>
    <row r="51" spans="1:21" s="211" customFormat="1" ht="24.95" hidden="1" customHeight="1">
      <c r="A51" s="406"/>
      <c r="B51" s="111"/>
      <c r="C51" s="122"/>
      <c r="D51" s="112"/>
      <c r="E51" s="112"/>
      <c r="F51" s="112"/>
      <c r="G51" s="112"/>
      <c r="H51" s="112" t="s">
        <v>233</v>
      </c>
      <c r="I51" s="229" t="s">
        <v>234</v>
      </c>
      <c r="J51" s="114"/>
      <c r="K51" s="114"/>
      <c r="L51" s="114"/>
      <c r="M51" s="230">
        <v>992</v>
      </c>
      <c r="N51" s="231"/>
      <c r="O51" s="231"/>
      <c r="P51" s="232"/>
      <c r="Q51" s="232"/>
      <c r="R51" s="232"/>
      <c r="S51" s="232"/>
      <c r="T51" s="232"/>
      <c r="U51" s="232"/>
    </row>
    <row r="52" spans="1:21" s="211" customFormat="1" ht="24.95" hidden="1" customHeight="1">
      <c r="A52" s="406"/>
      <c r="B52" s="111"/>
      <c r="C52" s="122"/>
      <c r="D52" s="112"/>
      <c r="E52" s="112"/>
      <c r="F52" s="112"/>
      <c r="G52" s="112"/>
      <c r="H52" s="112" t="s">
        <v>235</v>
      </c>
      <c r="I52" s="229" t="s">
        <v>236</v>
      </c>
      <c r="J52" s="114"/>
      <c r="K52" s="114"/>
      <c r="L52" s="114"/>
      <c r="M52" s="230">
        <v>331</v>
      </c>
      <c r="N52" s="231"/>
      <c r="O52" s="231"/>
      <c r="P52" s="232"/>
      <c r="Q52" s="232"/>
      <c r="R52" s="232"/>
      <c r="S52" s="232"/>
      <c r="T52" s="232"/>
      <c r="U52" s="232"/>
    </row>
    <row r="53" spans="1:21" s="211" customFormat="1" ht="24.95" hidden="1" customHeight="1">
      <c r="A53" s="406"/>
      <c r="B53" s="111"/>
      <c r="C53" s="122"/>
      <c r="D53" s="112"/>
      <c r="E53" s="112"/>
      <c r="F53" s="112"/>
      <c r="G53" s="112"/>
      <c r="H53" s="112" t="s">
        <v>237</v>
      </c>
      <c r="I53" s="229" t="s">
        <v>238</v>
      </c>
      <c r="J53" s="114"/>
      <c r="K53" s="114"/>
      <c r="L53" s="114"/>
      <c r="M53" s="230">
        <v>331</v>
      </c>
      <c r="N53" s="231"/>
      <c r="O53" s="231"/>
      <c r="P53" s="232"/>
      <c r="Q53" s="232"/>
      <c r="R53" s="232"/>
      <c r="S53" s="232"/>
      <c r="T53" s="232"/>
      <c r="U53" s="232"/>
    </row>
    <row r="54" spans="1:21" s="211" customFormat="1" ht="24.95" hidden="1" customHeight="1">
      <c r="A54" s="406"/>
      <c r="B54" s="111"/>
      <c r="C54" s="122"/>
      <c r="D54" s="112"/>
      <c r="E54" s="112"/>
      <c r="F54" s="112"/>
      <c r="G54" s="112"/>
      <c r="H54" s="112" t="s">
        <v>239</v>
      </c>
      <c r="I54" s="229" t="s">
        <v>240</v>
      </c>
      <c r="J54" s="114"/>
      <c r="K54" s="114"/>
      <c r="L54" s="114"/>
      <c r="M54" s="230">
        <v>661</v>
      </c>
      <c r="N54" s="231"/>
      <c r="O54" s="231"/>
      <c r="P54" s="232"/>
      <c r="Q54" s="232"/>
      <c r="R54" s="232"/>
      <c r="S54" s="232"/>
      <c r="T54" s="232"/>
      <c r="U54" s="232"/>
    </row>
    <row r="55" spans="1:21" s="211" customFormat="1" ht="24.95" hidden="1" customHeight="1">
      <c r="A55" s="406"/>
      <c r="B55" s="111"/>
      <c r="C55" s="122"/>
      <c r="D55" s="112"/>
      <c r="E55" s="112"/>
      <c r="F55" s="112"/>
      <c r="G55" s="112"/>
      <c r="H55" s="112" t="s">
        <v>241</v>
      </c>
      <c r="I55" s="229" t="s">
        <v>242</v>
      </c>
      <c r="J55" s="114"/>
      <c r="K55" s="114"/>
      <c r="L55" s="114"/>
      <c r="M55" s="230">
        <v>331</v>
      </c>
      <c r="N55" s="231"/>
      <c r="O55" s="231"/>
      <c r="P55" s="232"/>
      <c r="Q55" s="232"/>
      <c r="R55" s="232"/>
      <c r="S55" s="232"/>
      <c r="T55" s="232"/>
      <c r="U55" s="232"/>
    </row>
    <row r="56" spans="1:21" s="211" customFormat="1" ht="24.95" hidden="1" customHeight="1">
      <c r="A56" s="406"/>
      <c r="B56" s="111"/>
      <c r="C56" s="122"/>
      <c r="D56" s="112"/>
      <c r="E56" s="112"/>
      <c r="F56" s="112"/>
      <c r="G56" s="112"/>
      <c r="H56" s="112" t="s">
        <v>243</v>
      </c>
      <c r="I56" s="229" t="s">
        <v>244</v>
      </c>
      <c r="J56" s="114"/>
      <c r="K56" s="114"/>
      <c r="L56" s="114"/>
      <c r="M56" s="230">
        <v>661</v>
      </c>
      <c r="N56" s="231"/>
      <c r="O56" s="231"/>
      <c r="P56" s="232"/>
      <c r="Q56" s="232"/>
      <c r="R56" s="232"/>
      <c r="S56" s="232"/>
      <c r="T56" s="232"/>
      <c r="U56" s="232"/>
    </row>
    <row r="57" spans="1:21" s="211" customFormat="1" ht="24.95" hidden="1" customHeight="1">
      <c r="A57" s="406"/>
      <c r="B57" s="111"/>
      <c r="C57" s="122"/>
      <c r="D57" s="112"/>
      <c r="E57" s="112"/>
      <c r="F57" s="112"/>
      <c r="G57" s="112"/>
      <c r="H57" s="112" t="s">
        <v>245</v>
      </c>
      <c r="I57" s="229" t="s">
        <v>246</v>
      </c>
      <c r="J57" s="114"/>
      <c r="K57" s="114"/>
      <c r="L57" s="114"/>
      <c r="M57" s="230">
        <v>331</v>
      </c>
      <c r="N57" s="231"/>
      <c r="O57" s="231"/>
      <c r="P57" s="232"/>
      <c r="Q57" s="232"/>
      <c r="R57" s="232"/>
      <c r="S57" s="232"/>
      <c r="T57" s="232"/>
      <c r="U57" s="232"/>
    </row>
    <row r="58" spans="1:21" s="211" customFormat="1" ht="24.95" hidden="1" customHeight="1">
      <c r="A58" s="406"/>
      <c r="B58" s="111"/>
      <c r="C58" s="122"/>
      <c r="D58" s="112"/>
      <c r="E58" s="112"/>
      <c r="F58" s="112"/>
      <c r="G58" s="112"/>
      <c r="H58" s="112" t="s">
        <v>247</v>
      </c>
      <c r="I58" s="229" t="s">
        <v>248</v>
      </c>
      <c r="J58" s="114"/>
      <c r="K58" s="114"/>
      <c r="L58" s="114"/>
      <c r="M58" s="230">
        <v>661</v>
      </c>
      <c r="N58" s="231"/>
      <c r="O58" s="231"/>
      <c r="P58" s="232"/>
      <c r="Q58" s="232"/>
      <c r="R58" s="232"/>
      <c r="S58" s="232"/>
      <c r="T58" s="232"/>
      <c r="U58" s="232"/>
    </row>
    <row r="59" spans="1:21" s="211" customFormat="1" ht="24.95" hidden="1" customHeight="1">
      <c r="A59" s="406"/>
      <c r="B59" s="111"/>
      <c r="C59" s="122"/>
      <c r="D59" s="112"/>
      <c r="E59" s="112"/>
      <c r="F59" s="112"/>
      <c r="G59" s="112"/>
      <c r="H59" s="112" t="s">
        <v>249</v>
      </c>
      <c r="I59" s="229" t="s">
        <v>248</v>
      </c>
      <c r="J59" s="114"/>
      <c r="K59" s="114"/>
      <c r="L59" s="114"/>
      <c r="M59" s="230">
        <v>331</v>
      </c>
      <c r="N59" s="231"/>
      <c r="O59" s="231"/>
      <c r="P59" s="232"/>
      <c r="Q59" s="232"/>
      <c r="R59" s="232"/>
      <c r="S59" s="232"/>
      <c r="T59" s="232"/>
      <c r="U59" s="232"/>
    </row>
    <row r="60" spans="1:21" s="211" customFormat="1" ht="24.95" hidden="1" customHeight="1">
      <c r="A60" s="406"/>
      <c r="B60" s="111"/>
      <c r="C60" s="122"/>
      <c r="D60" s="112"/>
      <c r="E60" s="112"/>
      <c r="F60" s="112"/>
      <c r="G60" s="112"/>
      <c r="H60" s="112" t="s">
        <v>237</v>
      </c>
      <c r="I60" s="229" t="s">
        <v>250</v>
      </c>
      <c r="J60" s="114"/>
      <c r="K60" s="114"/>
      <c r="L60" s="114"/>
      <c r="M60" s="230">
        <v>1322</v>
      </c>
      <c r="N60" s="231"/>
      <c r="O60" s="231"/>
      <c r="P60" s="232"/>
      <c r="Q60" s="232"/>
      <c r="R60" s="232"/>
      <c r="S60" s="232"/>
      <c r="T60" s="232"/>
      <c r="U60" s="232"/>
    </row>
    <row r="61" spans="1:21" s="211" customFormat="1" ht="24.95" hidden="1" customHeight="1">
      <c r="A61" s="406"/>
      <c r="B61" s="111"/>
      <c r="C61" s="122"/>
      <c r="D61" s="112"/>
      <c r="E61" s="112"/>
      <c r="F61" s="112"/>
      <c r="G61" s="112"/>
      <c r="H61" s="112" t="s">
        <v>217</v>
      </c>
      <c r="I61" s="229" t="s">
        <v>251</v>
      </c>
      <c r="J61" s="114"/>
      <c r="K61" s="114"/>
      <c r="L61" s="114"/>
      <c r="M61" s="230">
        <v>824</v>
      </c>
      <c r="N61" s="231"/>
      <c r="O61" s="231"/>
      <c r="P61" s="232"/>
      <c r="Q61" s="232"/>
      <c r="R61" s="232"/>
      <c r="S61" s="232"/>
      <c r="T61" s="232"/>
      <c r="U61" s="232"/>
    </row>
    <row r="62" spans="1:21" s="211" customFormat="1" ht="24.95" hidden="1" customHeight="1">
      <c r="A62" s="406"/>
      <c r="B62" s="111"/>
      <c r="C62" s="122"/>
      <c r="D62" s="112"/>
      <c r="E62" s="112"/>
      <c r="F62" s="112"/>
      <c r="G62" s="112"/>
      <c r="H62" s="112" t="s">
        <v>252</v>
      </c>
      <c r="I62" s="229" t="s">
        <v>253</v>
      </c>
      <c r="J62" s="114"/>
      <c r="K62" s="114"/>
      <c r="L62" s="114"/>
      <c r="M62" s="230">
        <v>661</v>
      </c>
      <c r="N62" s="231"/>
      <c r="O62" s="231"/>
      <c r="P62" s="232"/>
      <c r="Q62" s="232"/>
      <c r="R62" s="232"/>
      <c r="S62" s="232"/>
      <c r="T62" s="232"/>
      <c r="U62" s="232"/>
    </row>
    <row r="63" spans="1:21" s="211" customFormat="1" ht="24.95" hidden="1" customHeight="1">
      <c r="A63" s="406"/>
      <c r="B63" s="111"/>
      <c r="C63" s="122"/>
      <c r="D63" s="112"/>
      <c r="E63" s="112"/>
      <c r="F63" s="112"/>
      <c r="G63" s="112"/>
      <c r="H63" s="112" t="s">
        <v>254</v>
      </c>
      <c r="I63" s="229" t="s">
        <v>255</v>
      </c>
      <c r="J63" s="114"/>
      <c r="K63" s="114"/>
      <c r="L63" s="114"/>
      <c r="M63" s="230">
        <v>1322</v>
      </c>
      <c r="N63" s="231"/>
      <c r="O63" s="231"/>
      <c r="P63" s="232"/>
      <c r="Q63" s="232"/>
      <c r="R63" s="232"/>
      <c r="S63" s="232"/>
      <c r="T63" s="232"/>
      <c r="U63" s="232"/>
    </row>
    <row r="64" spans="1:21" s="211" customFormat="1" ht="24.95" hidden="1" customHeight="1">
      <c r="A64" s="406"/>
      <c r="B64" s="111"/>
      <c r="C64" s="122"/>
      <c r="D64" s="112"/>
      <c r="E64" s="112"/>
      <c r="F64" s="112"/>
      <c r="G64" s="112"/>
      <c r="H64" s="112" t="s">
        <v>256</v>
      </c>
      <c r="I64" s="229" t="s">
        <v>257</v>
      </c>
      <c r="J64" s="114"/>
      <c r="K64" s="114"/>
      <c r="L64" s="114"/>
      <c r="M64" s="230">
        <v>331</v>
      </c>
      <c r="N64" s="231"/>
      <c r="O64" s="231"/>
      <c r="P64" s="232"/>
      <c r="Q64" s="232"/>
      <c r="R64" s="232"/>
      <c r="S64" s="232"/>
      <c r="T64" s="232"/>
      <c r="U64" s="232"/>
    </row>
    <row r="65" spans="1:77" s="236" customFormat="1" ht="24.95" customHeight="1">
      <c r="A65" s="406"/>
      <c r="B65" s="147" t="s">
        <v>44</v>
      </c>
      <c r="C65" s="148" t="s">
        <v>163</v>
      </c>
      <c r="D65" s="149" t="s">
        <v>70</v>
      </c>
      <c r="E65" s="149">
        <v>104</v>
      </c>
      <c r="F65" s="149">
        <v>0</v>
      </c>
      <c r="G65" s="149">
        <v>104</v>
      </c>
      <c r="H65" s="149" t="s">
        <v>278</v>
      </c>
      <c r="I65" s="224" t="s">
        <v>157</v>
      </c>
      <c r="J65" s="200"/>
      <c r="K65" s="200"/>
      <c r="L65" s="200"/>
      <c r="M65" s="233"/>
      <c r="N65" s="234"/>
      <c r="O65" s="226" t="str">
        <f t="shared" ref="O65:O70" si="5">CONCATENATE(D65,H65)</f>
        <v>임김*남 외 22인</v>
      </c>
      <c r="P65" s="227" t="str">
        <f t="shared" ref="P65:P70" si="6">IF(E65&gt;=G65,"-","err")</f>
        <v>-</v>
      </c>
      <c r="Q65" s="227" t="str">
        <f t="shared" ref="Q65:Q70" si="7">IF(F65=0,"1","2")</f>
        <v>1</v>
      </c>
      <c r="R65" s="235"/>
      <c r="S65" s="235"/>
      <c r="T65" s="235"/>
      <c r="U65" s="235"/>
    </row>
    <row r="66" spans="1:77" s="204" customFormat="1" ht="24.95" customHeight="1">
      <c r="A66" s="160">
        <v>38</v>
      </c>
      <c r="B66" s="111" t="s">
        <v>199</v>
      </c>
      <c r="C66" s="122" t="s">
        <v>118</v>
      </c>
      <c r="D66" s="112" t="s">
        <v>72</v>
      </c>
      <c r="E66" s="112">
        <v>397</v>
      </c>
      <c r="F66" s="112">
        <v>341</v>
      </c>
      <c r="G66" s="112">
        <v>368</v>
      </c>
      <c r="H66" s="112" t="s">
        <v>87</v>
      </c>
      <c r="I66" s="112" t="s">
        <v>123</v>
      </c>
      <c r="J66" s="114"/>
      <c r="K66" s="114"/>
      <c r="L66" s="114"/>
      <c r="M66" s="115"/>
      <c r="N66" s="202"/>
      <c r="O66" s="152" t="str">
        <f t="shared" si="5"/>
        <v>도국</v>
      </c>
      <c r="P66" s="153" t="str">
        <f t="shared" si="6"/>
        <v>-</v>
      </c>
      <c r="Q66" s="153" t="str">
        <f t="shared" si="7"/>
        <v>2</v>
      </c>
      <c r="R66" s="203"/>
      <c r="S66" s="203"/>
      <c r="T66" s="203"/>
      <c r="U66" s="203"/>
    </row>
    <row r="67" spans="1:77" s="204" customFormat="1" ht="24.95" customHeight="1">
      <c r="A67" s="160">
        <v>39</v>
      </c>
      <c r="B67" s="111" t="s">
        <v>258</v>
      </c>
      <c r="C67" s="130" t="s">
        <v>119</v>
      </c>
      <c r="D67" s="112" t="s">
        <v>72</v>
      </c>
      <c r="E67" s="112">
        <v>133</v>
      </c>
      <c r="F67" s="112">
        <v>133</v>
      </c>
      <c r="G67" s="112">
        <v>133</v>
      </c>
      <c r="H67" s="112" t="s">
        <v>89</v>
      </c>
      <c r="I67" s="112" t="s">
        <v>91</v>
      </c>
      <c r="J67" s="114"/>
      <c r="K67" s="114"/>
      <c r="L67" s="114"/>
      <c r="M67" s="115"/>
      <c r="N67" s="138"/>
      <c r="O67" s="174" t="str">
        <f t="shared" si="5"/>
        <v>도공</v>
      </c>
      <c r="P67" s="175" t="str">
        <f t="shared" si="6"/>
        <v>-</v>
      </c>
      <c r="Q67" s="175" t="str">
        <f t="shared" si="7"/>
        <v>2</v>
      </c>
      <c r="R67" s="139"/>
      <c r="S67" s="203"/>
      <c r="T67" s="203"/>
      <c r="U67" s="203"/>
    </row>
    <row r="68" spans="1:77" s="204" customFormat="1" ht="24.95" customHeight="1">
      <c r="A68" s="245">
        <v>40</v>
      </c>
      <c r="B68" s="167" t="s">
        <v>258</v>
      </c>
      <c r="C68" s="206" t="s">
        <v>283</v>
      </c>
      <c r="D68" s="199" t="s">
        <v>70</v>
      </c>
      <c r="E68" s="199">
        <v>28</v>
      </c>
      <c r="F68" s="199">
        <v>0</v>
      </c>
      <c r="G68" s="199">
        <v>28</v>
      </c>
      <c r="H68" s="199" t="s">
        <v>259</v>
      </c>
      <c r="I68" s="199" t="s">
        <v>260</v>
      </c>
      <c r="J68" s="200"/>
      <c r="K68" s="200"/>
      <c r="L68" s="200"/>
      <c r="M68" s="201"/>
      <c r="N68" s="202"/>
      <c r="O68" s="152" t="str">
        <f t="shared" si="5"/>
        <v>임이*관</v>
      </c>
      <c r="P68" s="153" t="str">
        <f t="shared" si="6"/>
        <v>-</v>
      </c>
      <c r="Q68" s="153" t="str">
        <f t="shared" si="7"/>
        <v>1</v>
      </c>
      <c r="R68" s="203"/>
      <c r="S68" s="203"/>
      <c r="T68" s="203"/>
      <c r="U68" s="203"/>
    </row>
    <row r="69" spans="1:77" s="140" customFormat="1" ht="24.95" customHeight="1">
      <c r="A69" s="160">
        <v>41</v>
      </c>
      <c r="B69" s="111" t="s">
        <v>258</v>
      </c>
      <c r="C69" s="130" t="s">
        <v>120</v>
      </c>
      <c r="D69" s="112" t="s">
        <v>72</v>
      </c>
      <c r="E69" s="112">
        <v>55</v>
      </c>
      <c r="F69" s="112">
        <v>55</v>
      </c>
      <c r="G69" s="112">
        <v>55</v>
      </c>
      <c r="H69" s="112" t="s">
        <v>89</v>
      </c>
      <c r="I69" s="112" t="s">
        <v>91</v>
      </c>
      <c r="J69" s="114"/>
      <c r="K69" s="114"/>
      <c r="L69" s="114"/>
      <c r="M69" s="115"/>
      <c r="N69" s="138"/>
      <c r="O69" s="174" t="str">
        <f t="shared" si="5"/>
        <v>도공</v>
      </c>
      <c r="P69" s="175" t="str">
        <f t="shared" si="6"/>
        <v>-</v>
      </c>
      <c r="Q69" s="175" t="str">
        <f t="shared" si="7"/>
        <v>2</v>
      </c>
      <c r="R69" s="139"/>
      <c r="S69" s="139"/>
      <c r="T69" s="139"/>
      <c r="U69" s="139"/>
    </row>
    <row r="70" spans="1:77" s="204" customFormat="1" ht="24.95" customHeight="1">
      <c r="A70" s="245">
        <v>42</v>
      </c>
      <c r="B70" s="167" t="s">
        <v>258</v>
      </c>
      <c r="C70" s="206" t="s">
        <v>261</v>
      </c>
      <c r="D70" s="199" t="s">
        <v>6</v>
      </c>
      <c r="E70" s="199">
        <v>22</v>
      </c>
      <c r="F70" s="199">
        <v>0</v>
      </c>
      <c r="G70" s="199">
        <v>22</v>
      </c>
      <c r="H70" s="199" t="s">
        <v>262</v>
      </c>
      <c r="I70" s="199" t="s">
        <v>263</v>
      </c>
      <c r="J70" s="200" t="s">
        <v>264</v>
      </c>
      <c r="K70" s="200" t="s">
        <v>265</v>
      </c>
      <c r="L70" s="200" t="s">
        <v>266</v>
      </c>
      <c r="M70" s="201"/>
      <c r="N70" s="202"/>
      <c r="O70" s="152" t="str">
        <f t="shared" si="5"/>
        <v>답전*님</v>
      </c>
      <c r="P70" s="153" t="str">
        <f t="shared" si="6"/>
        <v>-</v>
      </c>
      <c r="Q70" s="153" t="str">
        <f t="shared" si="7"/>
        <v>1</v>
      </c>
      <c r="R70" s="203"/>
      <c r="S70" s="203"/>
      <c r="T70" s="203"/>
      <c r="U70" s="203"/>
    </row>
    <row r="71" spans="1:77" s="204" customFormat="1" ht="24.95" customHeight="1">
      <c r="A71" s="245">
        <v>43</v>
      </c>
      <c r="B71" s="167" t="s">
        <v>258</v>
      </c>
      <c r="C71" s="206" t="s">
        <v>267</v>
      </c>
      <c r="D71" s="199" t="s">
        <v>6</v>
      </c>
      <c r="E71" s="199">
        <v>213</v>
      </c>
      <c r="F71" s="199">
        <v>0</v>
      </c>
      <c r="G71" s="199">
        <v>213</v>
      </c>
      <c r="H71" s="199" t="s">
        <v>87</v>
      </c>
      <c r="I71" s="199" t="s">
        <v>92</v>
      </c>
      <c r="J71" s="200"/>
      <c r="K71" s="200"/>
      <c r="L71" s="200"/>
      <c r="M71" s="201"/>
      <c r="N71" s="202"/>
      <c r="O71" s="152" t="e">
        <f>CONCATENATE(#REF!,#REF!)</f>
        <v>#REF!</v>
      </c>
      <c r="P71" s="153" t="e">
        <f>IF(#REF!&gt;=#REF!,"-","err")</f>
        <v>#REF!</v>
      </c>
      <c r="Q71" s="153" t="e">
        <f>IF(#REF!=0,"1","2")</f>
        <v>#REF!</v>
      </c>
      <c r="R71" s="203"/>
      <c r="S71" s="203"/>
      <c r="T71" s="203"/>
      <c r="U71" s="203"/>
    </row>
    <row r="72" spans="1:77" s="140" customFormat="1" ht="24.95" customHeight="1">
      <c r="A72" s="160">
        <v>44</v>
      </c>
      <c r="B72" s="111" t="s">
        <v>268</v>
      </c>
      <c r="C72" s="130" t="s">
        <v>121</v>
      </c>
      <c r="D72" s="112" t="s">
        <v>72</v>
      </c>
      <c r="E72" s="112">
        <v>1740</v>
      </c>
      <c r="F72" s="112">
        <v>0</v>
      </c>
      <c r="G72" s="112">
        <v>7</v>
      </c>
      <c r="H72" s="112" t="s">
        <v>87</v>
      </c>
      <c r="I72" s="112" t="s">
        <v>88</v>
      </c>
      <c r="J72" s="114"/>
      <c r="K72" s="114"/>
      <c r="L72" s="114"/>
      <c r="M72" s="115"/>
      <c r="N72" s="138"/>
      <c r="O72" s="174" t="str">
        <f>CONCATENATE(D72,H72)</f>
        <v>도국</v>
      </c>
      <c r="P72" s="175" t="str">
        <f>IF(E72&gt;=G72,"-","err")</f>
        <v>-</v>
      </c>
      <c r="Q72" s="175" t="str">
        <f>IF(F72=0,"1","2")</f>
        <v>1</v>
      </c>
      <c r="R72" s="139"/>
      <c r="S72" s="139"/>
      <c r="T72" s="139"/>
      <c r="U72" s="139"/>
    </row>
    <row r="73" spans="1:77" s="140" customFormat="1" ht="24.95" customHeight="1">
      <c r="A73" s="160">
        <v>45</v>
      </c>
      <c r="B73" s="111" t="s">
        <v>193</v>
      </c>
      <c r="C73" s="130" t="s">
        <v>122</v>
      </c>
      <c r="D73" s="112" t="s">
        <v>82</v>
      </c>
      <c r="E73" s="112">
        <v>3875</v>
      </c>
      <c r="F73" s="112">
        <v>0</v>
      </c>
      <c r="G73" s="112">
        <v>12</v>
      </c>
      <c r="H73" s="112" t="s">
        <v>87</v>
      </c>
      <c r="I73" s="112" t="s">
        <v>88</v>
      </c>
      <c r="J73" s="114"/>
      <c r="K73" s="114"/>
      <c r="L73" s="114"/>
      <c r="M73" s="115"/>
      <c r="N73" s="138"/>
      <c r="O73" s="174" t="str">
        <f t="shared" ref="O73:O136" si="8">CONCATENATE(D73,H73)</f>
        <v>구국</v>
      </c>
      <c r="P73" s="175" t="str">
        <f>IF(E73&gt;=G73,"-","err")</f>
        <v>-</v>
      </c>
      <c r="Q73" s="175" t="str">
        <f>IF(F73=0,"1","2")</f>
        <v>1</v>
      </c>
      <c r="R73" s="139"/>
      <c r="S73" s="139"/>
      <c r="T73" s="139"/>
      <c r="U73" s="139"/>
    </row>
    <row r="74" spans="1:77" s="140" customFormat="1" ht="24.95" customHeight="1">
      <c r="A74" s="111"/>
      <c r="B74" s="111"/>
      <c r="C74" s="130"/>
      <c r="D74" s="112"/>
      <c r="E74" s="112"/>
      <c r="F74" s="112"/>
      <c r="G74" s="112"/>
      <c r="H74" s="112"/>
      <c r="I74" s="112"/>
      <c r="J74" s="114"/>
      <c r="K74" s="114"/>
      <c r="L74" s="114"/>
      <c r="M74" s="115"/>
      <c r="N74" s="138"/>
      <c r="O74" s="138" t="str">
        <f t="shared" si="8"/>
        <v/>
      </c>
      <c r="P74" s="139"/>
      <c r="Q74" s="139"/>
      <c r="R74" s="139"/>
      <c r="S74" s="139"/>
      <c r="T74" s="139"/>
      <c r="U74" s="139"/>
    </row>
    <row r="75" spans="1:77" s="140" customFormat="1" ht="24.95" customHeight="1">
      <c r="A75" s="111"/>
      <c r="B75" s="111"/>
      <c r="C75" s="130"/>
      <c r="D75" s="112"/>
      <c r="E75" s="112"/>
      <c r="F75" s="112"/>
      <c r="G75" s="112"/>
      <c r="H75" s="112"/>
      <c r="I75" s="112"/>
      <c r="J75" s="114"/>
      <c r="K75" s="114"/>
      <c r="L75" s="114"/>
      <c r="M75" s="115"/>
      <c r="N75" s="138"/>
      <c r="O75" s="138" t="str">
        <f t="shared" si="8"/>
        <v/>
      </c>
      <c r="P75" s="139"/>
      <c r="Q75" s="139"/>
      <c r="R75" s="139"/>
      <c r="S75" s="139"/>
      <c r="T75" s="139"/>
      <c r="U75" s="139"/>
    </row>
    <row r="76" spans="1:77" s="140" customFormat="1" ht="24.95" hidden="1" customHeight="1">
      <c r="A76" s="111"/>
      <c r="B76" s="111"/>
      <c r="C76" s="111"/>
      <c r="D76" s="112"/>
      <c r="E76" s="112"/>
      <c r="F76" s="112"/>
      <c r="G76" s="112"/>
      <c r="H76" s="112"/>
      <c r="I76" s="112"/>
      <c r="J76" s="114"/>
      <c r="K76" s="114"/>
      <c r="L76" s="114"/>
      <c r="M76" s="115"/>
      <c r="N76" s="138"/>
      <c r="O76" s="138" t="str">
        <f t="shared" si="8"/>
        <v/>
      </c>
      <c r="P76" s="139"/>
      <c r="Q76" s="139"/>
      <c r="R76" s="139"/>
      <c r="S76" s="139"/>
      <c r="T76" s="139"/>
      <c r="U76" s="139"/>
    </row>
    <row r="77" spans="1:77" s="140" customFormat="1" ht="24.95" hidden="1" customHeight="1">
      <c r="A77" s="111"/>
      <c r="B77" s="111"/>
      <c r="C77" s="130"/>
      <c r="D77" s="112"/>
      <c r="E77" s="112"/>
      <c r="F77" s="112"/>
      <c r="G77" s="112"/>
      <c r="H77" s="112"/>
      <c r="I77" s="112"/>
      <c r="J77" s="114"/>
      <c r="K77" s="114"/>
      <c r="L77" s="114"/>
      <c r="M77" s="115"/>
      <c r="N77" s="138"/>
      <c r="O77" s="138" t="str">
        <f t="shared" si="8"/>
        <v/>
      </c>
      <c r="P77" s="139"/>
      <c r="Q77" s="139"/>
      <c r="R77" s="139"/>
      <c r="S77" s="139"/>
      <c r="T77" s="139"/>
      <c r="U77" s="139"/>
    </row>
    <row r="78" spans="1:77" s="140" customFormat="1" ht="30" hidden="1" customHeight="1">
      <c r="A78" s="111"/>
      <c r="B78" s="111"/>
      <c r="C78" s="111"/>
      <c r="D78" s="112"/>
      <c r="E78" s="112"/>
      <c r="F78" s="112"/>
      <c r="G78" s="112"/>
      <c r="H78" s="112"/>
      <c r="I78" s="112"/>
      <c r="J78" s="114"/>
      <c r="K78" s="114"/>
      <c r="L78" s="114"/>
      <c r="M78" s="115"/>
      <c r="N78" s="138"/>
      <c r="O78" s="138" t="str">
        <f t="shared" si="8"/>
        <v/>
      </c>
      <c r="P78" s="139"/>
      <c r="Q78" s="139"/>
      <c r="R78" s="139"/>
      <c r="S78" s="139"/>
      <c r="T78" s="139"/>
      <c r="U78" s="139"/>
    </row>
    <row r="79" spans="1:77" s="211" customFormat="1" ht="30" hidden="1" customHeight="1">
      <c r="A79" s="207" t="s">
        <v>41</v>
      </c>
      <c r="B79" s="207"/>
      <c r="C79" s="207"/>
      <c r="D79" s="141"/>
      <c r="E79" s="208"/>
      <c r="F79" s="208"/>
      <c r="G79" s="208">
        <f>SUM(G32:G78)</f>
        <v>5222</v>
      </c>
      <c r="H79" s="141"/>
      <c r="I79" s="141"/>
      <c r="J79" s="141"/>
      <c r="K79" s="141"/>
      <c r="L79" s="141"/>
      <c r="M79" s="209"/>
      <c r="N79" s="138"/>
      <c r="O79" s="138" t="str">
        <f t="shared" si="8"/>
        <v/>
      </c>
      <c r="P79" s="139"/>
      <c r="Q79" s="139"/>
      <c r="R79" s="139"/>
      <c r="S79" s="139"/>
      <c r="T79" s="139"/>
      <c r="U79" s="139"/>
      <c r="V79" s="210"/>
      <c r="W79" s="210"/>
      <c r="X79" s="210"/>
      <c r="Y79" s="210"/>
      <c r="Z79" s="210"/>
      <c r="AA79" s="210"/>
      <c r="AB79" s="210"/>
      <c r="AC79" s="210"/>
      <c r="AD79" s="210"/>
      <c r="AE79" s="210"/>
      <c r="AF79" s="210"/>
      <c r="AG79" s="210"/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  <c r="BI79" s="210"/>
      <c r="BJ79" s="210"/>
      <c r="BK79" s="210"/>
      <c r="BL79" s="210"/>
      <c r="BM79" s="210"/>
      <c r="BN79" s="210"/>
      <c r="BO79" s="210"/>
      <c r="BP79" s="210"/>
      <c r="BQ79" s="210"/>
      <c r="BR79" s="210"/>
      <c r="BS79" s="210"/>
      <c r="BT79" s="210"/>
      <c r="BU79" s="210"/>
      <c r="BV79" s="210"/>
      <c r="BW79" s="210"/>
      <c r="BX79" s="210"/>
      <c r="BY79" s="210"/>
    </row>
    <row r="80" spans="1:77" s="140" customFormat="1" ht="35.1" customHeight="1">
      <c r="A80" s="58"/>
      <c r="B80" s="161"/>
      <c r="C80" s="82"/>
      <c r="D80" s="59"/>
      <c r="E80" s="59"/>
      <c r="F80" s="59"/>
      <c r="G80" s="59"/>
      <c r="H80" s="59"/>
      <c r="I80" s="59"/>
      <c r="J80" s="43"/>
      <c r="K80" s="43"/>
      <c r="L80" s="43"/>
      <c r="M80" s="16"/>
      <c r="N80" s="138"/>
      <c r="O80" s="138" t="str">
        <f t="shared" si="8"/>
        <v/>
      </c>
      <c r="P80" s="139"/>
      <c r="Q80" s="139"/>
      <c r="R80" s="139"/>
      <c r="S80" s="139"/>
      <c r="T80" s="139"/>
      <c r="U80" s="139"/>
    </row>
    <row r="81" spans="1:21" s="140" customFormat="1" ht="35.1" customHeight="1">
      <c r="A81" s="92"/>
      <c r="B81" s="162"/>
      <c r="C81" s="96"/>
      <c r="D81" s="93"/>
      <c r="E81" s="93"/>
      <c r="F81" s="93"/>
      <c r="G81" s="93"/>
      <c r="H81" s="93"/>
      <c r="I81" s="93"/>
      <c r="J81" s="94"/>
      <c r="K81" s="94"/>
      <c r="L81" s="94"/>
      <c r="M81" s="95"/>
      <c r="N81" s="138"/>
      <c r="O81" s="138" t="str">
        <f t="shared" si="8"/>
        <v/>
      </c>
      <c r="P81" s="139"/>
      <c r="Q81" s="139"/>
      <c r="R81" s="139"/>
      <c r="S81" s="139"/>
      <c r="T81" s="139"/>
      <c r="U81" s="139"/>
    </row>
    <row r="82" spans="1:21" s="140" customFormat="1" ht="35.1" customHeight="1">
      <c r="A82" s="63"/>
      <c r="B82" s="163"/>
      <c r="C82" s="83"/>
      <c r="D82" s="65"/>
      <c r="E82" s="65"/>
      <c r="F82" s="65"/>
      <c r="G82" s="65"/>
      <c r="H82" s="65"/>
      <c r="I82" s="65"/>
      <c r="J82" s="44">
        <v>0</v>
      </c>
      <c r="K82" s="44">
        <v>0</v>
      </c>
      <c r="L82" s="44">
        <v>0</v>
      </c>
      <c r="M82" s="17"/>
      <c r="N82" s="138"/>
      <c r="O82" s="138" t="str">
        <f t="shared" si="8"/>
        <v/>
      </c>
      <c r="P82" s="139"/>
      <c r="Q82" s="139"/>
      <c r="R82" s="139"/>
      <c r="S82" s="139"/>
      <c r="T82" s="139"/>
      <c r="U82" s="139"/>
    </row>
    <row r="83" spans="1:21" s="140" customFormat="1" ht="35.1" customHeight="1">
      <c r="A83" s="63"/>
      <c r="B83" s="163"/>
      <c r="C83" s="84"/>
      <c r="D83" s="65"/>
      <c r="E83" s="65"/>
      <c r="F83" s="65"/>
      <c r="G83" s="65"/>
      <c r="H83" s="65"/>
      <c r="I83" s="65"/>
      <c r="J83" s="44">
        <v>0</v>
      </c>
      <c r="K83" s="44">
        <v>0</v>
      </c>
      <c r="L83" s="44">
        <v>0</v>
      </c>
      <c r="M83" s="17"/>
      <c r="N83" s="138"/>
      <c r="O83" s="138" t="str">
        <f t="shared" si="8"/>
        <v/>
      </c>
      <c r="P83" s="139" t="str">
        <f t="shared" ref="P83:P99" si="9">IF(E83&gt;=G83,"-","err")</f>
        <v>-</v>
      </c>
      <c r="Q83" s="139"/>
      <c r="R83" s="139"/>
      <c r="S83" s="139"/>
      <c r="T83" s="139"/>
      <c r="U83" s="139"/>
    </row>
    <row r="84" spans="1:21" s="140" customFormat="1" ht="35.1" customHeight="1">
      <c r="A84" s="63"/>
      <c r="B84" s="163"/>
      <c r="C84" s="89"/>
      <c r="D84" s="65"/>
      <c r="E84" s="65"/>
      <c r="F84" s="65"/>
      <c r="G84" s="65"/>
      <c r="H84" s="65"/>
      <c r="I84" s="65"/>
      <c r="J84" s="44">
        <v>0</v>
      </c>
      <c r="K84" s="44">
        <v>0</v>
      </c>
      <c r="L84" s="44">
        <v>0</v>
      </c>
      <c r="M84" s="17"/>
      <c r="N84" s="138"/>
      <c r="O84" s="138" t="str">
        <f t="shared" si="8"/>
        <v/>
      </c>
      <c r="P84" s="139" t="str">
        <f t="shared" si="9"/>
        <v>-</v>
      </c>
      <c r="Q84" s="139"/>
      <c r="R84" s="139"/>
      <c r="S84" s="139"/>
      <c r="T84" s="139"/>
      <c r="U84" s="139"/>
    </row>
    <row r="85" spans="1:21" s="140" customFormat="1" ht="35.1" customHeight="1">
      <c r="A85" s="63"/>
      <c r="B85" s="163"/>
      <c r="C85" s="89"/>
      <c r="D85" s="65"/>
      <c r="E85" s="65"/>
      <c r="F85" s="65"/>
      <c r="G85" s="65"/>
      <c r="H85" s="65"/>
      <c r="I85" s="65"/>
      <c r="J85" s="44">
        <v>0</v>
      </c>
      <c r="K85" s="44">
        <v>0</v>
      </c>
      <c r="L85" s="44">
        <v>0</v>
      </c>
      <c r="M85" s="17"/>
      <c r="N85" s="138"/>
      <c r="O85" s="138" t="str">
        <f t="shared" si="8"/>
        <v/>
      </c>
      <c r="P85" s="139" t="str">
        <f t="shared" si="9"/>
        <v>-</v>
      </c>
      <c r="Q85" s="139"/>
      <c r="R85" s="139"/>
      <c r="S85" s="139"/>
      <c r="T85" s="139"/>
      <c r="U85" s="139"/>
    </row>
    <row r="86" spans="1:21" s="140" customFormat="1" ht="35.1" customHeight="1">
      <c r="A86" s="63"/>
      <c r="B86" s="163"/>
      <c r="C86" s="89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138"/>
      <c r="O86" s="138" t="str">
        <f t="shared" si="8"/>
        <v/>
      </c>
      <c r="P86" s="139" t="str">
        <f t="shared" si="9"/>
        <v>-</v>
      </c>
      <c r="Q86" s="139"/>
      <c r="R86" s="139"/>
      <c r="S86" s="139"/>
      <c r="T86" s="139"/>
      <c r="U86" s="139"/>
    </row>
    <row r="87" spans="1:21" s="140" customFormat="1" ht="35.1" customHeight="1">
      <c r="A87" s="63"/>
      <c r="B87" s="163"/>
      <c r="C87" s="89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138"/>
      <c r="O87" s="138" t="str">
        <f t="shared" si="8"/>
        <v/>
      </c>
      <c r="P87" s="139" t="str">
        <f t="shared" si="9"/>
        <v>-</v>
      </c>
      <c r="Q87" s="139"/>
      <c r="R87" s="139"/>
      <c r="S87" s="139"/>
      <c r="T87" s="139"/>
      <c r="U87" s="139"/>
    </row>
    <row r="88" spans="1:21" s="140" customFormat="1" ht="35.1" customHeight="1">
      <c r="A88" s="63"/>
      <c r="B88" s="163"/>
      <c r="C88" s="89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138"/>
      <c r="O88" s="138" t="str">
        <f t="shared" si="8"/>
        <v/>
      </c>
      <c r="P88" s="139" t="str">
        <f t="shared" si="9"/>
        <v>-</v>
      </c>
      <c r="Q88" s="139"/>
      <c r="R88" s="139"/>
      <c r="S88" s="139"/>
      <c r="T88" s="139"/>
      <c r="U88" s="139"/>
    </row>
    <row r="89" spans="1:21" s="140" customFormat="1" ht="35.1" customHeight="1">
      <c r="A89" s="63"/>
      <c r="B89" s="163"/>
      <c r="C89" s="89"/>
      <c r="D89" s="65"/>
      <c r="E89" s="65"/>
      <c r="F89" s="65"/>
      <c r="G89" s="65"/>
      <c r="H89" s="65"/>
      <c r="I89" s="65"/>
      <c r="J89" s="44">
        <v>0</v>
      </c>
      <c r="K89" s="44">
        <v>0</v>
      </c>
      <c r="L89" s="44">
        <v>0</v>
      </c>
      <c r="M89" s="17"/>
      <c r="N89" s="138"/>
      <c r="O89" s="138" t="str">
        <f t="shared" si="8"/>
        <v/>
      </c>
      <c r="P89" s="139" t="str">
        <f t="shared" si="9"/>
        <v>-</v>
      </c>
      <c r="Q89" s="139"/>
      <c r="R89" s="139"/>
      <c r="S89" s="139"/>
      <c r="T89" s="139"/>
      <c r="U89" s="139"/>
    </row>
    <row r="90" spans="1:21" s="140" customFormat="1" ht="35.1" customHeight="1">
      <c r="A90" s="63"/>
      <c r="B90" s="163"/>
      <c r="C90" s="89"/>
      <c r="D90" s="65"/>
      <c r="E90" s="65"/>
      <c r="F90" s="65"/>
      <c r="G90" s="65"/>
      <c r="H90" s="65"/>
      <c r="I90" s="65"/>
      <c r="J90" s="44">
        <v>0</v>
      </c>
      <c r="K90" s="44">
        <v>0</v>
      </c>
      <c r="L90" s="44">
        <v>0</v>
      </c>
      <c r="M90" s="17"/>
      <c r="N90" s="138"/>
      <c r="O90" s="138" t="str">
        <f t="shared" si="8"/>
        <v/>
      </c>
      <c r="P90" s="139" t="str">
        <f t="shared" si="9"/>
        <v>-</v>
      </c>
      <c r="Q90" s="139"/>
      <c r="R90" s="139"/>
      <c r="S90" s="139"/>
      <c r="T90" s="139"/>
      <c r="U90" s="139"/>
    </row>
    <row r="91" spans="1:21" s="140" customFormat="1" ht="35.1" customHeight="1">
      <c r="A91" s="63"/>
      <c r="B91" s="163"/>
      <c r="C91" s="64"/>
      <c r="D91" s="65"/>
      <c r="E91" s="65"/>
      <c r="F91" s="65"/>
      <c r="G91" s="65"/>
      <c r="H91" s="65"/>
      <c r="I91" s="65"/>
      <c r="J91" s="44"/>
      <c r="K91" s="44"/>
      <c r="L91" s="44"/>
      <c r="M91" s="17"/>
      <c r="N91" s="138"/>
      <c r="O91" s="138" t="str">
        <f t="shared" si="8"/>
        <v/>
      </c>
      <c r="P91" s="139" t="str">
        <f t="shared" si="9"/>
        <v>-</v>
      </c>
      <c r="Q91" s="139"/>
      <c r="R91" s="139"/>
      <c r="S91" s="139"/>
      <c r="T91" s="139"/>
      <c r="U91" s="139"/>
    </row>
    <row r="92" spans="1:21" s="140" customFormat="1" ht="35.1" customHeight="1">
      <c r="A92" s="63"/>
      <c r="B92" s="163"/>
      <c r="C92" s="64"/>
      <c r="D92" s="65"/>
      <c r="E92" s="65"/>
      <c r="F92" s="65"/>
      <c r="G92" s="65"/>
      <c r="H92" s="65"/>
      <c r="I92" s="65"/>
      <c r="J92" s="44"/>
      <c r="K92" s="44"/>
      <c r="L92" s="44"/>
      <c r="M92" s="17"/>
      <c r="N92" s="138"/>
      <c r="O92" s="138" t="str">
        <f t="shared" si="8"/>
        <v/>
      </c>
      <c r="P92" s="139" t="str">
        <f t="shared" si="9"/>
        <v>-</v>
      </c>
      <c r="Q92" s="139"/>
      <c r="R92" s="139"/>
      <c r="S92" s="139"/>
      <c r="T92" s="139"/>
      <c r="U92" s="139"/>
    </row>
    <row r="93" spans="1:21" s="140" customFormat="1" ht="35.1" customHeight="1">
      <c r="A93" s="63"/>
      <c r="B93" s="163"/>
      <c r="C93" s="64"/>
      <c r="D93" s="65"/>
      <c r="E93" s="65"/>
      <c r="F93" s="65"/>
      <c r="G93" s="65"/>
      <c r="H93" s="65"/>
      <c r="I93" s="65"/>
      <c r="J93" s="44"/>
      <c r="K93" s="44"/>
      <c r="L93" s="44"/>
      <c r="M93" s="17"/>
      <c r="N93" s="138"/>
      <c r="O93" s="138" t="str">
        <f t="shared" si="8"/>
        <v/>
      </c>
      <c r="P93" s="139" t="str">
        <f t="shared" si="9"/>
        <v>-</v>
      </c>
      <c r="Q93" s="139"/>
      <c r="R93" s="139"/>
      <c r="S93" s="139"/>
      <c r="T93" s="139"/>
      <c r="U93" s="139"/>
    </row>
    <row r="94" spans="1:21" s="140" customFormat="1" ht="35.1" customHeight="1">
      <c r="A94" s="63"/>
      <c r="B94" s="163"/>
      <c r="C94" s="64"/>
      <c r="D94" s="65"/>
      <c r="E94" s="65"/>
      <c r="F94" s="65"/>
      <c r="G94" s="65"/>
      <c r="H94" s="65"/>
      <c r="I94" s="65"/>
      <c r="J94" s="44"/>
      <c r="K94" s="44"/>
      <c r="L94" s="44"/>
      <c r="M94" s="17"/>
      <c r="N94" s="138"/>
      <c r="O94" s="138" t="str">
        <f t="shared" si="8"/>
        <v/>
      </c>
      <c r="P94" s="139" t="str">
        <f t="shared" si="9"/>
        <v>-</v>
      </c>
      <c r="Q94" s="139"/>
      <c r="R94" s="139"/>
      <c r="S94" s="139"/>
      <c r="T94" s="139"/>
      <c r="U94" s="139"/>
    </row>
    <row r="95" spans="1:21" s="140" customFormat="1" ht="35.1" customHeight="1">
      <c r="A95" s="63"/>
      <c r="B95" s="163"/>
      <c r="C95" s="64"/>
      <c r="D95" s="65"/>
      <c r="E95" s="65"/>
      <c r="F95" s="65"/>
      <c r="G95" s="65"/>
      <c r="H95" s="65"/>
      <c r="I95" s="65"/>
      <c r="J95" s="44"/>
      <c r="K95" s="44"/>
      <c r="L95" s="44"/>
      <c r="M95" s="17"/>
      <c r="N95" s="138"/>
      <c r="O95" s="138" t="str">
        <f t="shared" si="8"/>
        <v/>
      </c>
      <c r="P95" s="139" t="str">
        <f t="shared" si="9"/>
        <v>-</v>
      </c>
      <c r="Q95" s="139"/>
      <c r="R95" s="139"/>
      <c r="S95" s="139"/>
      <c r="T95" s="139"/>
      <c r="U95" s="139"/>
    </row>
    <row r="96" spans="1:21" s="140" customFormat="1" ht="35.1" customHeight="1">
      <c r="A96" s="63"/>
      <c r="B96" s="163"/>
      <c r="C96" s="64"/>
      <c r="D96" s="65"/>
      <c r="E96" s="65"/>
      <c r="F96" s="65"/>
      <c r="G96" s="65"/>
      <c r="H96" s="65"/>
      <c r="I96" s="65"/>
      <c r="J96" s="44"/>
      <c r="K96" s="44"/>
      <c r="L96" s="44"/>
      <c r="M96" s="17"/>
      <c r="N96" s="138"/>
      <c r="O96" s="138" t="str">
        <f t="shared" si="8"/>
        <v/>
      </c>
      <c r="P96" s="139" t="str">
        <f t="shared" si="9"/>
        <v>-</v>
      </c>
      <c r="Q96" s="139"/>
      <c r="R96" s="139"/>
      <c r="S96" s="139"/>
      <c r="T96" s="139"/>
      <c r="U96" s="139"/>
    </row>
    <row r="97" spans="1:77" s="140" customFormat="1" ht="35.1" customHeight="1">
      <c r="A97" s="63"/>
      <c r="B97" s="163"/>
      <c r="C97" s="64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138"/>
      <c r="O97" s="138" t="str">
        <f t="shared" si="8"/>
        <v/>
      </c>
      <c r="P97" s="139" t="str">
        <f t="shared" si="9"/>
        <v>-</v>
      </c>
      <c r="Q97" s="139"/>
      <c r="R97" s="139"/>
      <c r="S97" s="139"/>
      <c r="T97" s="139"/>
      <c r="U97" s="139"/>
    </row>
    <row r="98" spans="1:77" s="140" customFormat="1" ht="35.1" customHeight="1">
      <c r="A98" s="63"/>
      <c r="B98" s="163"/>
      <c r="C98" s="64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138"/>
      <c r="O98" s="138" t="str">
        <f t="shared" si="8"/>
        <v/>
      </c>
      <c r="P98" s="139" t="str">
        <f t="shared" si="9"/>
        <v>-</v>
      </c>
      <c r="Q98" s="139"/>
      <c r="R98" s="139"/>
      <c r="S98" s="139"/>
      <c r="T98" s="139"/>
      <c r="U98" s="139"/>
    </row>
    <row r="99" spans="1:77" s="140" customFormat="1" ht="35.1" customHeight="1">
      <c r="A99" s="63"/>
      <c r="B99" s="163"/>
      <c r="C99" s="64"/>
      <c r="D99" s="65"/>
      <c r="E99" s="65"/>
      <c r="F99" s="65"/>
      <c r="G99" s="65"/>
      <c r="H99" s="65"/>
      <c r="I99" s="65"/>
      <c r="J99" s="44"/>
      <c r="K99" s="44"/>
      <c r="L99" s="44"/>
      <c r="M99" s="17"/>
      <c r="N99" s="138"/>
      <c r="O99" s="138" t="str">
        <f t="shared" si="8"/>
        <v/>
      </c>
      <c r="P99" s="139" t="str">
        <f t="shared" si="9"/>
        <v>-</v>
      </c>
      <c r="Q99" s="139"/>
      <c r="R99" s="139"/>
      <c r="S99" s="139"/>
      <c r="T99" s="139"/>
      <c r="U99" s="139"/>
    </row>
    <row r="100" spans="1:77" s="211" customFormat="1" ht="35.1" customHeight="1">
      <c r="A100" s="212" t="s">
        <v>41</v>
      </c>
      <c r="B100" s="213"/>
      <c r="C100" s="213"/>
      <c r="D100" s="214"/>
      <c r="E100" s="215"/>
      <c r="F100" s="215"/>
      <c r="G100" s="215">
        <f>SUM(G80:G99)</f>
        <v>0</v>
      </c>
      <c r="H100" s="214"/>
      <c r="I100" s="214"/>
      <c r="J100" s="214"/>
      <c r="K100" s="214"/>
      <c r="L100" s="214"/>
      <c r="M100" s="216"/>
      <c r="N100" s="138"/>
      <c r="O100" s="138" t="str">
        <f t="shared" si="8"/>
        <v/>
      </c>
      <c r="P100" s="139"/>
      <c r="Q100" s="139"/>
      <c r="R100" s="139"/>
      <c r="S100" s="139"/>
      <c r="T100" s="139"/>
      <c r="U100" s="139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210"/>
      <c r="AG100" s="210"/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  <c r="BI100" s="210"/>
      <c r="BJ100" s="210"/>
      <c r="BK100" s="210"/>
      <c r="BL100" s="210"/>
      <c r="BM100" s="210"/>
      <c r="BN100" s="210"/>
      <c r="BO100" s="210"/>
      <c r="BP100" s="210"/>
      <c r="BQ100" s="210"/>
      <c r="BR100" s="210"/>
      <c r="BS100" s="210"/>
      <c r="BT100" s="210"/>
      <c r="BU100" s="210"/>
      <c r="BV100" s="210"/>
      <c r="BW100" s="210"/>
      <c r="BX100" s="210"/>
      <c r="BY100" s="210"/>
    </row>
    <row r="101" spans="1:77" s="140" customFormat="1" ht="35.1" customHeight="1">
      <c r="A101" s="58"/>
      <c r="B101" s="161"/>
      <c r="C101" s="82"/>
      <c r="D101" s="59"/>
      <c r="E101" s="59"/>
      <c r="F101" s="59"/>
      <c r="G101" s="59"/>
      <c r="H101" s="59"/>
      <c r="I101" s="59"/>
      <c r="J101" s="43"/>
      <c r="K101" s="43"/>
      <c r="L101" s="43"/>
      <c r="M101" s="16"/>
      <c r="N101" s="138"/>
      <c r="O101" s="138" t="str">
        <f t="shared" si="8"/>
        <v/>
      </c>
      <c r="P101" s="139" t="str">
        <f t="shared" ref="P101:P120" si="10">IF(E101&gt;=G101,"-","err")</f>
        <v>-</v>
      </c>
      <c r="Q101" s="139"/>
      <c r="R101" s="139"/>
      <c r="S101" s="139"/>
      <c r="T101" s="139"/>
      <c r="U101" s="139"/>
    </row>
    <row r="102" spans="1:77" s="140" customFormat="1" ht="35.1" customHeight="1">
      <c r="A102" s="92"/>
      <c r="B102" s="162"/>
      <c r="C102" s="96"/>
      <c r="D102" s="93"/>
      <c r="E102" s="93"/>
      <c r="F102" s="93"/>
      <c r="G102" s="93"/>
      <c r="H102" s="93"/>
      <c r="I102" s="93"/>
      <c r="J102" s="94"/>
      <c r="K102" s="94"/>
      <c r="L102" s="94"/>
      <c r="M102" s="95"/>
      <c r="N102" s="138"/>
      <c r="O102" s="138" t="str">
        <f t="shared" si="8"/>
        <v/>
      </c>
      <c r="P102" s="139" t="str">
        <f t="shared" si="10"/>
        <v>-</v>
      </c>
      <c r="Q102" s="139"/>
      <c r="R102" s="139"/>
      <c r="S102" s="139"/>
      <c r="T102" s="139"/>
      <c r="U102" s="139"/>
    </row>
    <row r="103" spans="1:77" s="140" customFormat="1" ht="35.1" customHeight="1">
      <c r="A103" s="63"/>
      <c r="B103" s="163"/>
      <c r="C103" s="83"/>
      <c r="D103" s="65"/>
      <c r="E103" s="65"/>
      <c r="F103" s="65"/>
      <c r="G103" s="65"/>
      <c r="H103" s="65"/>
      <c r="I103" s="65"/>
      <c r="J103" s="44"/>
      <c r="K103" s="44">
        <v>0</v>
      </c>
      <c r="L103" s="44">
        <v>0</v>
      </c>
      <c r="M103" s="17"/>
      <c r="N103" s="138"/>
      <c r="O103" s="138" t="str">
        <f t="shared" si="8"/>
        <v/>
      </c>
      <c r="P103" s="139" t="str">
        <f t="shared" si="10"/>
        <v>-</v>
      </c>
      <c r="Q103" s="139"/>
      <c r="R103" s="139"/>
      <c r="S103" s="139"/>
      <c r="T103" s="139"/>
      <c r="U103" s="139"/>
    </row>
    <row r="104" spans="1:77" s="140" customFormat="1" ht="35.1" customHeight="1">
      <c r="A104" s="63"/>
      <c r="B104" s="163"/>
      <c r="C104" s="84"/>
      <c r="D104" s="65"/>
      <c r="E104" s="65"/>
      <c r="F104" s="65"/>
      <c r="G104" s="65"/>
      <c r="H104" s="65"/>
      <c r="I104" s="65"/>
      <c r="J104" s="44"/>
      <c r="K104" s="44">
        <v>0</v>
      </c>
      <c r="L104" s="44">
        <v>0</v>
      </c>
      <c r="M104" s="17"/>
      <c r="N104" s="138"/>
      <c r="O104" s="138" t="str">
        <f t="shared" si="8"/>
        <v/>
      </c>
      <c r="P104" s="139" t="str">
        <f t="shared" si="10"/>
        <v>-</v>
      </c>
      <c r="Q104" s="139"/>
      <c r="R104" s="139"/>
      <c r="S104" s="139"/>
      <c r="T104" s="139"/>
      <c r="U104" s="139"/>
    </row>
    <row r="105" spans="1:77" s="140" customFormat="1" ht="35.1" customHeight="1">
      <c r="A105" s="63"/>
      <c r="B105" s="163"/>
      <c r="C105" s="89"/>
      <c r="D105" s="65"/>
      <c r="E105" s="65"/>
      <c r="F105" s="65"/>
      <c r="G105" s="65"/>
      <c r="H105" s="65"/>
      <c r="I105" s="65"/>
      <c r="J105" s="44"/>
      <c r="K105" s="44">
        <v>0</v>
      </c>
      <c r="L105" s="44">
        <v>0</v>
      </c>
      <c r="M105" s="17"/>
      <c r="N105" s="138"/>
      <c r="O105" s="138" t="str">
        <f t="shared" si="8"/>
        <v/>
      </c>
      <c r="P105" s="139" t="str">
        <f t="shared" si="10"/>
        <v>-</v>
      </c>
      <c r="Q105" s="139"/>
      <c r="R105" s="139"/>
      <c r="S105" s="139"/>
      <c r="T105" s="139"/>
      <c r="U105" s="139"/>
    </row>
    <row r="106" spans="1:77" s="140" customFormat="1" ht="35.1" customHeight="1">
      <c r="A106" s="63"/>
      <c r="B106" s="163"/>
      <c r="C106" s="89"/>
      <c r="D106" s="65"/>
      <c r="E106" s="65"/>
      <c r="F106" s="65"/>
      <c r="G106" s="65"/>
      <c r="H106" s="65"/>
      <c r="I106" s="65"/>
      <c r="J106" s="44"/>
      <c r="K106" s="44">
        <v>0</v>
      </c>
      <c r="L106" s="44">
        <v>0</v>
      </c>
      <c r="M106" s="17"/>
      <c r="N106" s="138"/>
      <c r="O106" s="138" t="str">
        <f t="shared" si="8"/>
        <v/>
      </c>
      <c r="P106" s="139" t="str">
        <f t="shared" si="10"/>
        <v>-</v>
      </c>
      <c r="Q106" s="139"/>
      <c r="R106" s="139"/>
      <c r="S106" s="139"/>
      <c r="T106" s="139"/>
      <c r="U106" s="139"/>
    </row>
    <row r="107" spans="1:77" s="140" customFormat="1" ht="35.1" customHeight="1">
      <c r="A107" s="63"/>
      <c r="B107" s="163"/>
      <c r="C107" s="89"/>
      <c r="D107" s="65"/>
      <c r="E107" s="65"/>
      <c r="F107" s="65"/>
      <c r="G107" s="65"/>
      <c r="H107" s="65"/>
      <c r="I107" s="65"/>
      <c r="J107" s="44"/>
      <c r="K107" s="44">
        <v>0</v>
      </c>
      <c r="L107" s="44">
        <v>0</v>
      </c>
      <c r="M107" s="17"/>
      <c r="N107" s="138"/>
      <c r="O107" s="138" t="str">
        <f t="shared" si="8"/>
        <v/>
      </c>
      <c r="P107" s="139" t="str">
        <f t="shared" si="10"/>
        <v>-</v>
      </c>
      <c r="Q107" s="139"/>
      <c r="R107" s="139"/>
      <c r="S107" s="139"/>
      <c r="T107" s="139"/>
      <c r="U107" s="139"/>
    </row>
    <row r="108" spans="1:77" s="140" customFormat="1" ht="35.1" customHeight="1">
      <c r="A108" s="63"/>
      <c r="B108" s="163"/>
      <c r="C108" s="89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138"/>
      <c r="O108" s="138" t="str">
        <f t="shared" si="8"/>
        <v/>
      </c>
      <c r="P108" s="139" t="str">
        <f t="shared" si="10"/>
        <v>-</v>
      </c>
      <c r="Q108" s="139"/>
      <c r="R108" s="139"/>
      <c r="S108" s="139"/>
      <c r="T108" s="139"/>
      <c r="U108" s="139"/>
    </row>
    <row r="109" spans="1:77" s="140" customFormat="1" ht="35.1" customHeight="1">
      <c r="A109" s="63"/>
      <c r="B109" s="163"/>
      <c r="C109" s="89"/>
      <c r="D109" s="65"/>
      <c r="E109" s="65"/>
      <c r="F109" s="65"/>
      <c r="G109" s="65"/>
      <c r="H109" s="65"/>
      <c r="I109" s="65"/>
      <c r="J109" s="44"/>
      <c r="K109" s="44">
        <v>0</v>
      </c>
      <c r="L109" s="44">
        <v>0</v>
      </c>
      <c r="M109" s="17"/>
      <c r="N109" s="138"/>
      <c r="O109" s="138" t="str">
        <f t="shared" si="8"/>
        <v/>
      </c>
      <c r="P109" s="139" t="str">
        <f t="shared" si="10"/>
        <v>-</v>
      </c>
      <c r="Q109" s="139"/>
      <c r="R109" s="139"/>
      <c r="S109" s="139"/>
      <c r="T109" s="139"/>
      <c r="U109" s="139"/>
    </row>
    <row r="110" spans="1:77" s="140" customFormat="1" ht="35.1" customHeight="1">
      <c r="A110" s="63"/>
      <c r="B110" s="163"/>
      <c r="C110" s="89"/>
      <c r="D110" s="65"/>
      <c r="E110" s="65"/>
      <c r="F110" s="65"/>
      <c r="G110" s="65"/>
      <c r="H110" s="65"/>
      <c r="I110" s="65"/>
      <c r="J110" s="44"/>
      <c r="K110" s="44">
        <v>0</v>
      </c>
      <c r="L110" s="44">
        <v>0</v>
      </c>
      <c r="M110" s="17"/>
      <c r="N110" s="138"/>
      <c r="O110" s="138" t="str">
        <f t="shared" si="8"/>
        <v/>
      </c>
      <c r="P110" s="139" t="str">
        <f t="shared" si="10"/>
        <v>-</v>
      </c>
      <c r="Q110" s="139"/>
      <c r="R110" s="139"/>
      <c r="S110" s="139"/>
      <c r="T110" s="139"/>
      <c r="U110" s="139"/>
    </row>
    <row r="111" spans="1:77" s="140" customFormat="1" ht="35.1" customHeight="1">
      <c r="A111" s="63"/>
      <c r="B111" s="163"/>
      <c r="C111" s="89"/>
      <c r="D111" s="65"/>
      <c r="E111" s="65"/>
      <c r="F111" s="65"/>
      <c r="G111" s="65"/>
      <c r="H111" s="65"/>
      <c r="I111" s="65"/>
      <c r="J111" s="44"/>
      <c r="K111" s="44">
        <v>0</v>
      </c>
      <c r="L111" s="44">
        <v>0</v>
      </c>
      <c r="M111" s="17"/>
      <c r="N111" s="138"/>
      <c r="O111" s="138" t="str">
        <f t="shared" si="8"/>
        <v/>
      </c>
      <c r="P111" s="139" t="str">
        <f t="shared" si="10"/>
        <v>-</v>
      </c>
      <c r="Q111" s="139"/>
      <c r="R111" s="139"/>
      <c r="S111" s="139"/>
      <c r="T111" s="139"/>
      <c r="U111" s="139"/>
    </row>
    <row r="112" spans="1:77" s="140" customFormat="1" ht="35.1" customHeight="1">
      <c r="A112" s="63"/>
      <c r="B112" s="163"/>
      <c r="C112" s="64"/>
      <c r="D112" s="65"/>
      <c r="E112" s="65"/>
      <c r="F112" s="65"/>
      <c r="G112" s="65"/>
      <c r="H112" s="65"/>
      <c r="I112" s="65"/>
      <c r="J112" s="44"/>
      <c r="K112" s="44"/>
      <c r="L112" s="44"/>
      <c r="M112" s="17"/>
      <c r="N112" s="138"/>
      <c r="O112" s="138" t="str">
        <f t="shared" si="8"/>
        <v/>
      </c>
      <c r="P112" s="139" t="str">
        <f t="shared" si="10"/>
        <v>-</v>
      </c>
      <c r="Q112" s="139"/>
      <c r="R112" s="139"/>
      <c r="S112" s="139"/>
      <c r="T112" s="139"/>
      <c r="U112" s="139"/>
    </row>
    <row r="113" spans="1:77" s="140" customFormat="1" ht="35.1" customHeight="1">
      <c r="A113" s="63"/>
      <c r="B113" s="163"/>
      <c r="C113" s="64"/>
      <c r="D113" s="65"/>
      <c r="E113" s="65"/>
      <c r="F113" s="65"/>
      <c r="G113" s="65"/>
      <c r="H113" s="65"/>
      <c r="I113" s="65"/>
      <c r="J113" s="44"/>
      <c r="K113" s="44"/>
      <c r="L113" s="44"/>
      <c r="M113" s="17"/>
      <c r="N113" s="138"/>
      <c r="O113" s="138" t="str">
        <f t="shared" si="8"/>
        <v/>
      </c>
      <c r="P113" s="139" t="str">
        <f t="shared" si="10"/>
        <v>-</v>
      </c>
      <c r="Q113" s="139"/>
      <c r="R113" s="139"/>
      <c r="S113" s="139"/>
      <c r="T113" s="139"/>
      <c r="U113" s="139"/>
    </row>
    <row r="114" spans="1:77" s="140" customFormat="1" ht="35.1" customHeight="1">
      <c r="A114" s="63"/>
      <c r="B114" s="163"/>
      <c r="C114" s="64"/>
      <c r="D114" s="65"/>
      <c r="E114" s="65"/>
      <c r="F114" s="65"/>
      <c r="G114" s="65"/>
      <c r="H114" s="65"/>
      <c r="I114" s="65"/>
      <c r="J114" s="44"/>
      <c r="K114" s="44"/>
      <c r="L114" s="44"/>
      <c r="M114" s="17"/>
      <c r="N114" s="138"/>
      <c r="O114" s="138" t="str">
        <f t="shared" si="8"/>
        <v/>
      </c>
      <c r="P114" s="139" t="str">
        <f t="shared" si="10"/>
        <v>-</v>
      </c>
      <c r="Q114" s="139"/>
      <c r="R114" s="139"/>
      <c r="S114" s="139"/>
      <c r="T114" s="139"/>
      <c r="U114" s="139"/>
    </row>
    <row r="115" spans="1:77" s="140" customFormat="1" ht="35.1" customHeight="1">
      <c r="A115" s="63"/>
      <c r="B115" s="163"/>
      <c r="C115" s="64"/>
      <c r="D115" s="65"/>
      <c r="E115" s="65"/>
      <c r="F115" s="65"/>
      <c r="G115" s="65"/>
      <c r="H115" s="65"/>
      <c r="I115" s="65"/>
      <c r="J115" s="44"/>
      <c r="K115" s="44"/>
      <c r="L115" s="44"/>
      <c r="M115" s="17"/>
      <c r="N115" s="138"/>
      <c r="O115" s="138" t="str">
        <f t="shared" si="8"/>
        <v/>
      </c>
      <c r="P115" s="139" t="str">
        <f t="shared" si="10"/>
        <v>-</v>
      </c>
      <c r="Q115" s="139"/>
      <c r="R115" s="139"/>
      <c r="S115" s="139"/>
      <c r="T115" s="139"/>
      <c r="U115" s="139"/>
    </row>
    <row r="116" spans="1:77" s="140" customFormat="1" ht="35.1" customHeight="1">
      <c r="A116" s="63"/>
      <c r="B116" s="163"/>
      <c r="C116" s="64"/>
      <c r="D116" s="65"/>
      <c r="E116" s="65"/>
      <c r="F116" s="65"/>
      <c r="G116" s="65"/>
      <c r="H116" s="65"/>
      <c r="I116" s="65"/>
      <c r="J116" s="44"/>
      <c r="K116" s="44"/>
      <c r="L116" s="44"/>
      <c r="M116" s="17"/>
      <c r="N116" s="138"/>
      <c r="O116" s="138" t="str">
        <f t="shared" si="8"/>
        <v/>
      </c>
      <c r="P116" s="139" t="str">
        <f t="shared" si="10"/>
        <v>-</v>
      </c>
      <c r="Q116" s="139"/>
      <c r="R116" s="139"/>
      <c r="S116" s="139"/>
      <c r="T116" s="139"/>
      <c r="U116" s="139"/>
    </row>
    <row r="117" spans="1:77" s="140" customFormat="1" ht="35.1" customHeight="1">
      <c r="A117" s="63"/>
      <c r="B117" s="163"/>
      <c r="C117" s="64"/>
      <c r="D117" s="65"/>
      <c r="E117" s="65"/>
      <c r="F117" s="65"/>
      <c r="G117" s="65"/>
      <c r="H117" s="65"/>
      <c r="I117" s="65"/>
      <c r="J117" s="44"/>
      <c r="K117" s="44"/>
      <c r="L117" s="44"/>
      <c r="M117" s="17"/>
      <c r="N117" s="138"/>
      <c r="O117" s="138" t="str">
        <f t="shared" si="8"/>
        <v/>
      </c>
      <c r="P117" s="139" t="str">
        <f t="shared" si="10"/>
        <v>-</v>
      </c>
      <c r="Q117" s="139"/>
      <c r="R117" s="139"/>
      <c r="S117" s="139"/>
      <c r="T117" s="139"/>
      <c r="U117" s="139"/>
    </row>
    <row r="118" spans="1:77" s="140" customFormat="1" ht="35.1" customHeight="1">
      <c r="A118" s="63"/>
      <c r="B118" s="163"/>
      <c r="C118" s="64"/>
      <c r="D118" s="65"/>
      <c r="E118" s="65"/>
      <c r="F118" s="65"/>
      <c r="G118" s="65"/>
      <c r="H118" s="65"/>
      <c r="I118" s="65"/>
      <c r="J118" s="44"/>
      <c r="K118" s="44"/>
      <c r="L118" s="44"/>
      <c r="M118" s="17"/>
      <c r="N118" s="138"/>
      <c r="O118" s="138" t="str">
        <f t="shared" si="8"/>
        <v/>
      </c>
      <c r="P118" s="139" t="str">
        <f t="shared" si="10"/>
        <v>-</v>
      </c>
      <c r="Q118" s="139"/>
      <c r="R118" s="139"/>
      <c r="S118" s="139"/>
      <c r="T118" s="139"/>
      <c r="U118" s="139"/>
    </row>
    <row r="119" spans="1:77" s="140" customFormat="1" ht="35.1" customHeight="1">
      <c r="A119" s="63"/>
      <c r="B119" s="163"/>
      <c r="C119" s="64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138"/>
      <c r="O119" s="138" t="str">
        <f t="shared" si="8"/>
        <v/>
      </c>
      <c r="P119" s="139" t="str">
        <f t="shared" si="10"/>
        <v>-</v>
      </c>
      <c r="Q119" s="139"/>
      <c r="R119" s="139"/>
      <c r="S119" s="139"/>
      <c r="T119" s="139"/>
      <c r="U119" s="139"/>
    </row>
    <row r="120" spans="1:77" s="140" customFormat="1" ht="35.1" customHeight="1">
      <c r="A120" s="63"/>
      <c r="B120" s="163"/>
      <c r="C120" s="64"/>
      <c r="D120" s="65"/>
      <c r="E120" s="65"/>
      <c r="F120" s="65"/>
      <c r="G120" s="65"/>
      <c r="H120" s="65"/>
      <c r="I120" s="65"/>
      <c r="J120" s="44"/>
      <c r="K120" s="44"/>
      <c r="L120" s="44"/>
      <c r="M120" s="17"/>
      <c r="N120" s="138"/>
      <c r="O120" s="138" t="str">
        <f t="shared" si="8"/>
        <v/>
      </c>
      <c r="P120" s="139" t="str">
        <f t="shared" si="10"/>
        <v>-</v>
      </c>
      <c r="Q120" s="139"/>
      <c r="R120" s="139"/>
      <c r="S120" s="139"/>
      <c r="T120" s="139"/>
      <c r="U120" s="139"/>
    </row>
    <row r="121" spans="1:77" s="211" customFormat="1" ht="35.1" customHeight="1">
      <c r="A121" s="212" t="s">
        <v>41</v>
      </c>
      <c r="B121" s="213"/>
      <c r="C121" s="213"/>
      <c r="D121" s="214"/>
      <c r="E121" s="215"/>
      <c r="F121" s="215"/>
      <c r="G121" s="215">
        <f>SUM(G101:G120)</f>
        <v>0</v>
      </c>
      <c r="H121" s="214"/>
      <c r="I121" s="214"/>
      <c r="J121" s="214"/>
      <c r="K121" s="214"/>
      <c r="L121" s="214"/>
      <c r="M121" s="216"/>
      <c r="N121" s="138"/>
      <c r="O121" s="138" t="str">
        <f t="shared" si="8"/>
        <v/>
      </c>
      <c r="P121" s="139"/>
      <c r="Q121" s="139"/>
      <c r="R121" s="139"/>
      <c r="S121" s="139"/>
      <c r="T121" s="139"/>
      <c r="U121" s="139"/>
      <c r="V121" s="210"/>
      <c r="W121" s="210"/>
      <c r="X121" s="210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  <c r="BI121" s="210"/>
      <c r="BJ121" s="210"/>
      <c r="BK121" s="210"/>
      <c r="BL121" s="210"/>
      <c r="BM121" s="210"/>
      <c r="BN121" s="210"/>
      <c r="BO121" s="210"/>
      <c r="BP121" s="210"/>
      <c r="BQ121" s="210"/>
      <c r="BR121" s="210"/>
      <c r="BS121" s="210"/>
      <c r="BT121" s="210"/>
      <c r="BU121" s="210"/>
      <c r="BV121" s="210"/>
      <c r="BW121" s="210"/>
      <c r="BX121" s="210"/>
      <c r="BY121" s="210"/>
    </row>
    <row r="122" spans="1:77" s="140" customFormat="1" ht="35.1" customHeight="1">
      <c r="A122" s="58"/>
      <c r="B122" s="161"/>
      <c r="C122" s="82"/>
      <c r="D122" s="59"/>
      <c r="E122" s="59"/>
      <c r="F122" s="59"/>
      <c r="G122" s="59"/>
      <c r="H122" s="59"/>
      <c r="I122" s="59"/>
      <c r="J122" s="43"/>
      <c r="K122" s="43"/>
      <c r="L122" s="43"/>
      <c r="M122" s="16"/>
      <c r="N122" s="138"/>
      <c r="O122" s="138" t="str">
        <f t="shared" si="8"/>
        <v/>
      </c>
      <c r="P122" s="139" t="str">
        <f t="shared" ref="P122:P141" si="11">IF(E122&gt;=G122,"-","err")</f>
        <v>-</v>
      </c>
      <c r="Q122" s="139"/>
      <c r="R122" s="139"/>
      <c r="S122" s="139"/>
      <c r="T122" s="139"/>
      <c r="U122" s="139"/>
    </row>
    <row r="123" spans="1:77" s="140" customFormat="1" ht="35.1" customHeight="1">
      <c r="A123" s="92"/>
      <c r="B123" s="162"/>
      <c r="C123" s="96"/>
      <c r="D123" s="93"/>
      <c r="E123" s="93"/>
      <c r="F123" s="93"/>
      <c r="G123" s="93"/>
      <c r="H123" s="93"/>
      <c r="I123" s="93"/>
      <c r="J123" s="94"/>
      <c r="K123" s="94"/>
      <c r="L123" s="94"/>
      <c r="M123" s="95"/>
      <c r="N123" s="138"/>
      <c r="O123" s="138" t="str">
        <f t="shared" si="8"/>
        <v/>
      </c>
      <c r="P123" s="139" t="str">
        <f t="shared" si="11"/>
        <v>-</v>
      </c>
      <c r="Q123" s="139"/>
      <c r="R123" s="139"/>
      <c r="S123" s="139"/>
      <c r="T123" s="139"/>
      <c r="U123" s="139"/>
    </row>
    <row r="124" spans="1:77" s="140" customFormat="1" ht="35.1" customHeight="1">
      <c r="A124" s="63"/>
      <c r="B124" s="163"/>
      <c r="C124" s="83"/>
      <c r="D124" s="65"/>
      <c r="E124" s="65"/>
      <c r="F124" s="65"/>
      <c r="G124" s="65"/>
      <c r="H124" s="65"/>
      <c r="I124" s="65"/>
      <c r="J124" s="44">
        <v>0</v>
      </c>
      <c r="K124" s="44">
        <v>0</v>
      </c>
      <c r="L124" s="44">
        <v>0</v>
      </c>
      <c r="M124" s="17"/>
      <c r="N124" s="138"/>
      <c r="O124" s="138" t="str">
        <f t="shared" si="8"/>
        <v/>
      </c>
      <c r="P124" s="139" t="str">
        <f t="shared" si="11"/>
        <v>-</v>
      </c>
      <c r="Q124" s="139"/>
      <c r="R124" s="139"/>
      <c r="S124" s="139"/>
      <c r="T124" s="139"/>
      <c r="U124" s="139"/>
    </row>
    <row r="125" spans="1:77" s="140" customFormat="1" ht="35.1" customHeight="1">
      <c r="A125" s="63"/>
      <c r="B125" s="163"/>
      <c r="C125" s="84"/>
      <c r="D125" s="65"/>
      <c r="E125" s="65"/>
      <c r="F125" s="65"/>
      <c r="G125" s="65"/>
      <c r="H125" s="65"/>
      <c r="I125" s="65"/>
      <c r="J125" s="44">
        <v>0</v>
      </c>
      <c r="K125" s="44">
        <v>0</v>
      </c>
      <c r="L125" s="44">
        <v>0</v>
      </c>
      <c r="M125" s="17"/>
      <c r="N125" s="138"/>
      <c r="O125" s="138" t="str">
        <f t="shared" si="8"/>
        <v/>
      </c>
      <c r="P125" s="139" t="str">
        <f t="shared" si="11"/>
        <v>-</v>
      </c>
      <c r="Q125" s="139"/>
      <c r="R125" s="139"/>
      <c r="S125" s="139"/>
      <c r="T125" s="139"/>
      <c r="U125" s="139"/>
    </row>
    <row r="126" spans="1:77" s="140" customFormat="1" ht="35.1" customHeight="1">
      <c r="A126" s="63"/>
      <c r="B126" s="163"/>
      <c r="C126" s="89"/>
      <c r="D126" s="65"/>
      <c r="E126" s="65"/>
      <c r="F126" s="65"/>
      <c r="G126" s="65"/>
      <c r="H126" s="65"/>
      <c r="I126" s="65"/>
      <c r="J126" s="44">
        <v>0</v>
      </c>
      <c r="K126" s="44">
        <v>0</v>
      </c>
      <c r="L126" s="44">
        <v>0</v>
      </c>
      <c r="M126" s="17"/>
      <c r="N126" s="138"/>
      <c r="O126" s="138" t="str">
        <f t="shared" si="8"/>
        <v/>
      </c>
      <c r="P126" s="139" t="str">
        <f t="shared" si="11"/>
        <v>-</v>
      </c>
      <c r="Q126" s="139"/>
      <c r="R126" s="139"/>
      <c r="S126" s="139"/>
      <c r="T126" s="139"/>
      <c r="U126" s="139"/>
    </row>
    <row r="127" spans="1:77" s="140" customFormat="1" ht="35.1" customHeight="1">
      <c r="A127" s="63"/>
      <c r="B127" s="163"/>
      <c r="C127" s="89"/>
      <c r="D127" s="65"/>
      <c r="E127" s="65"/>
      <c r="F127" s="65"/>
      <c r="G127" s="65"/>
      <c r="H127" s="65"/>
      <c r="I127" s="65"/>
      <c r="J127" s="44">
        <v>0</v>
      </c>
      <c r="K127" s="44">
        <v>0</v>
      </c>
      <c r="L127" s="44">
        <v>0</v>
      </c>
      <c r="M127" s="17"/>
      <c r="N127" s="138"/>
      <c r="O127" s="138" t="str">
        <f t="shared" si="8"/>
        <v/>
      </c>
      <c r="P127" s="139" t="str">
        <f t="shared" si="11"/>
        <v>-</v>
      </c>
      <c r="Q127" s="139"/>
      <c r="R127" s="139"/>
      <c r="S127" s="139"/>
      <c r="T127" s="139"/>
      <c r="U127" s="139"/>
    </row>
    <row r="128" spans="1:77" s="140" customFormat="1" ht="35.1" customHeight="1">
      <c r="A128" s="63"/>
      <c r="B128" s="163"/>
      <c r="C128" s="89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138"/>
      <c r="O128" s="138" t="str">
        <f t="shared" si="8"/>
        <v/>
      </c>
      <c r="P128" s="139" t="str">
        <f t="shared" si="11"/>
        <v>-</v>
      </c>
      <c r="Q128" s="139"/>
      <c r="R128" s="139"/>
      <c r="S128" s="139"/>
      <c r="T128" s="139"/>
      <c r="U128" s="139"/>
    </row>
    <row r="129" spans="1:77" s="140" customFormat="1" ht="35.1" customHeight="1">
      <c r="A129" s="63"/>
      <c r="B129" s="163"/>
      <c r="C129" s="89"/>
      <c r="D129" s="65"/>
      <c r="E129" s="65"/>
      <c r="F129" s="65"/>
      <c r="G129" s="65"/>
      <c r="H129" s="65"/>
      <c r="I129" s="65"/>
      <c r="J129" s="44"/>
      <c r="K129" s="44"/>
      <c r="L129" s="44"/>
      <c r="M129" s="17"/>
      <c r="N129" s="138"/>
      <c r="O129" s="138" t="str">
        <f t="shared" si="8"/>
        <v/>
      </c>
      <c r="P129" s="139" t="str">
        <f t="shared" si="11"/>
        <v>-</v>
      </c>
      <c r="Q129" s="139"/>
      <c r="R129" s="139"/>
      <c r="S129" s="139"/>
      <c r="T129" s="139"/>
      <c r="U129" s="139"/>
    </row>
    <row r="130" spans="1:77" s="140" customFormat="1" ht="35.1" customHeight="1">
      <c r="A130" s="63"/>
      <c r="B130" s="163"/>
      <c r="C130" s="89"/>
      <c r="D130" s="65"/>
      <c r="E130" s="65"/>
      <c r="F130" s="65"/>
      <c r="G130" s="65"/>
      <c r="H130" s="65"/>
      <c r="I130" s="65"/>
      <c r="J130" s="44"/>
      <c r="K130" s="44"/>
      <c r="L130" s="44"/>
      <c r="M130" s="17"/>
      <c r="N130" s="138"/>
      <c r="O130" s="138" t="str">
        <f t="shared" si="8"/>
        <v/>
      </c>
      <c r="P130" s="139" t="str">
        <f t="shared" si="11"/>
        <v>-</v>
      </c>
      <c r="Q130" s="139"/>
      <c r="R130" s="139"/>
      <c r="S130" s="139"/>
      <c r="T130" s="139"/>
      <c r="U130" s="139"/>
    </row>
    <row r="131" spans="1:77" s="140" customFormat="1" ht="35.1" customHeight="1">
      <c r="A131" s="63"/>
      <c r="B131" s="163"/>
      <c r="C131" s="89"/>
      <c r="D131" s="65"/>
      <c r="E131" s="65"/>
      <c r="F131" s="65"/>
      <c r="G131" s="65"/>
      <c r="H131" s="65"/>
      <c r="I131" s="65"/>
      <c r="J131" s="44">
        <v>0</v>
      </c>
      <c r="K131" s="44">
        <v>0</v>
      </c>
      <c r="L131" s="44">
        <v>0</v>
      </c>
      <c r="M131" s="17"/>
      <c r="N131" s="138"/>
      <c r="O131" s="138" t="str">
        <f t="shared" si="8"/>
        <v/>
      </c>
      <c r="P131" s="139" t="str">
        <f t="shared" si="11"/>
        <v>-</v>
      </c>
      <c r="Q131" s="139"/>
      <c r="R131" s="139"/>
      <c r="S131" s="139"/>
      <c r="T131" s="139"/>
      <c r="U131" s="139"/>
    </row>
    <row r="132" spans="1:77" s="140" customFormat="1" ht="35.1" customHeight="1">
      <c r="A132" s="63"/>
      <c r="B132" s="163"/>
      <c r="C132" s="89"/>
      <c r="D132" s="65"/>
      <c r="E132" s="65"/>
      <c r="F132" s="65"/>
      <c r="G132" s="65"/>
      <c r="H132" s="65"/>
      <c r="I132" s="65"/>
      <c r="J132" s="44">
        <v>0</v>
      </c>
      <c r="K132" s="44">
        <v>0</v>
      </c>
      <c r="L132" s="44">
        <v>0</v>
      </c>
      <c r="M132" s="17"/>
      <c r="N132" s="138"/>
      <c r="O132" s="138" t="str">
        <f t="shared" si="8"/>
        <v/>
      </c>
      <c r="P132" s="139" t="str">
        <f t="shared" si="11"/>
        <v>-</v>
      </c>
      <c r="Q132" s="139"/>
      <c r="R132" s="139"/>
      <c r="S132" s="139"/>
      <c r="T132" s="139"/>
      <c r="U132" s="139"/>
    </row>
    <row r="133" spans="1:77" s="140" customFormat="1" ht="35.1" customHeight="1">
      <c r="A133" s="63"/>
      <c r="B133" s="163"/>
      <c r="C133" s="64"/>
      <c r="D133" s="65"/>
      <c r="E133" s="65"/>
      <c r="F133" s="65"/>
      <c r="G133" s="65"/>
      <c r="H133" s="65"/>
      <c r="I133" s="65"/>
      <c r="J133" s="44"/>
      <c r="K133" s="44"/>
      <c r="L133" s="44"/>
      <c r="M133" s="17"/>
      <c r="N133" s="138"/>
      <c r="O133" s="138" t="str">
        <f t="shared" si="8"/>
        <v/>
      </c>
      <c r="P133" s="139" t="str">
        <f t="shared" si="11"/>
        <v>-</v>
      </c>
      <c r="Q133" s="139"/>
      <c r="R133" s="139"/>
      <c r="S133" s="139"/>
      <c r="T133" s="139"/>
      <c r="U133" s="139"/>
    </row>
    <row r="134" spans="1:77" s="140" customFormat="1" ht="35.1" customHeight="1">
      <c r="A134" s="63"/>
      <c r="B134" s="163"/>
      <c r="C134" s="64"/>
      <c r="D134" s="65"/>
      <c r="E134" s="65"/>
      <c r="F134" s="65"/>
      <c r="G134" s="65"/>
      <c r="H134" s="65"/>
      <c r="I134" s="65"/>
      <c r="J134" s="44"/>
      <c r="K134" s="44"/>
      <c r="L134" s="44"/>
      <c r="M134" s="17"/>
      <c r="N134" s="138"/>
      <c r="O134" s="138" t="str">
        <f t="shared" si="8"/>
        <v/>
      </c>
      <c r="P134" s="139" t="str">
        <f t="shared" si="11"/>
        <v>-</v>
      </c>
      <c r="Q134" s="139"/>
      <c r="R134" s="139"/>
      <c r="S134" s="139"/>
      <c r="T134" s="139"/>
      <c r="U134" s="139"/>
    </row>
    <row r="135" spans="1:77" s="140" customFormat="1" ht="35.1" customHeight="1">
      <c r="A135" s="63"/>
      <c r="B135" s="163"/>
      <c r="C135" s="64"/>
      <c r="D135" s="65"/>
      <c r="E135" s="65"/>
      <c r="F135" s="65"/>
      <c r="G135" s="65"/>
      <c r="H135" s="65"/>
      <c r="I135" s="65"/>
      <c r="J135" s="44"/>
      <c r="K135" s="44"/>
      <c r="L135" s="44"/>
      <c r="M135" s="17"/>
      <c r="N135" s="138"/>
      <c r="O135" s="138" t="str">
        <f t="shared" si="8"/>
        <v/>
      </c>
      <c r="P135" s="139" t="str">
        <f t="shared" si="11"/>
        <v>-</v>
      </c>
      <c r="Q135" s="139"/>
      <c r="R135" s="139"/>
      <c r="S135" s="139"/>
      <c r="T135" s="139"/>
      <c r="U135" s="139"/>
    </row>
    <row r="136" spans="1:77" s="140" customFormat="1" ht="35.1" customHeight="1">
      <c r="A136" s="63"/>
      <c r="B136" s="163"/>
      <c r="C136" s="64"/>
      <c r="D136" s="65"/>
      <c r="E136" s="65"/>
      <c r="F136" s="65"/>
      <c r="G136" s="65"/>
      <c r="H136" s="65"/>
      <c r="I136" s="65"/>
      <c r="J136" s="44"/>
      <c r="K136" s="44"/>
      <c r="L136" s="44"/>
      <c r="M136" s="17"/>
      <c r="N136" s="138"/>
      <c r="O136" s="138" t="str">
        <f t="shared" si="8"/>
        <v/>
      </c>
      <c r="P136" s="139" t="str">
        <f t="shared" si="11"/>
        <v>-</v>
      </c>
      <c r="Q136" s="139"/>
      <c r="R136" s="139"/>
      <c r="S136" s="139"/>
      <c r="T136" s="139"/>
      <c r="U136" s="139"/>
    </row>
    <row r="137" spans="1:77" s="140" customFormat="1" ht="35.1" customHeight="1">
      <c r="A137" s="63"/>
      <c r="B137" s="163"/>
      <c r="C137" s="64"/>
      <c r="D137" s="65"/>
      <c r="E137" s="65"/>
      <c r="F137" s="65"/>
      <c r="G137" s="65"/>
      <c r="H137" s="65"/>
      <c r="I137" s="65"/>
      <c r="J137" s="44"/>
      <c r="K137" s="44"/>
      <c r="L137" s="44"/>
      <c r="M137" s="17"/>
      <c r="N137" s="138"/>
      <c r="O137" s="138" t="str">
        <f t="shared" ref="O137:O200" si="12">CONCATENATE(D137,H137)</f>
        <v/>
      </c>
      <c r="P137" s="139" t="str">
        <f t="shared" si="11"/>
        <v>-</v>
      </c>
      <c r="Q137" s="139"/>
      <c r="R137" s="139"/>
      <c r="S137" s="139"/>
      <c r="T137" s="139"/>
      <c r="U137" s="139"/>
    </row>
    <row r="138" spans="1:77" s="140" customFormat="1" ht="35.1" customHeight="1">
      <c r="A138" s="63"/>
      <c r="B138" s="163"/>
      <c r="C138" s="64"/>
      <c r="D138" s="65"/>
      <c r="E138" s="65"/>
      <c r="F138" s="65"/>
      <c r="G138" s="65"/>
      <c r="H138" s="65"/>
      <c r="I138" s="65"/>
      <c r="J138" s="44"/>
      <c r="K138" s="44"/>
      <c r="L138" s="44"/>
      <c r="M138" s="17"/>
      <c r="N138" s="138"/>
      <c r="O138" s="138" t="str">
        <f t="shared" si="12"/>
        <v/>
      </c>
      <c r="P138" s="139" t="str">
        <f t="shared" si="11"/>
        <v>-</v>
      </c>
      <c r="Q138" s="139"/>
      <c r="R138" s="139"/>
      <c r="S138" s="139"/>
      <c r="T138" s="139"/>
      <c r="U138" s="139"/>
    </row>
    <row r="139" spans="1:77" s="140" customFormat="1" ht="35.1" customHeight="1">
      <c r="A139" s="63"/>
      <c r="B139" s="163"/>
      <c r="C139" s="64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138"/>
      <c r="O139" s="138" t="str">
        <f t="shared" si="12"/>
        <v/>
      </c>
      <c r="P139" s="139" t="str">
        <f t="shared" si="11"/>
        <v>-</v>
      </c>
      <c r="Q139" s="139"/>
      <c r="R139" s="139"/>
      <c r="S139" s="139"/>
      <c r="T139" s="139"/>
      <c r="U139" s="139"/>
    </row>
    <row r="140" spans="1:77" s="140" customFormat="1" ht="35.1" customHeight="1">
      <c r="A140" s="63"/>
      <c r="B140" s="163"/>
      <c r="C140" s="64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138"/>
      <c r="O140" s="138" t="str">
        <f t="shared" si="12"/>
        <v/>
      </c>
      <c r="P140" s="139" t="str">
        <f t="shared" si="11"/>
        <v>-</v>
      </c>
      <c r="Q140" s="139"/>
      <c r="R140" s="139"/>
      <c r="S140" s="139"/>
      <c r="T140" s="139"/>
      <c r="U140" s="139"/>
    </row>
    <row r="141" spans="1:77" s="140" customFormat="1" ht="35.1" customHeight="1">
      <c r="A141" s="63"/>
      <c r="B141" s="163"/>
      <c r="C141" s="64"/>
      <c r="D141" s="65"/>
      <c r="E141" s="65"/>
      <c r="F141" s="65"/>
      <c r="G141" s="65"/>
      <c r="H141" s="65"/>
      <c r="I141" s="65"/>
      <c r="J141" s="44"/>
      <c r="K141" s="44"/>
      <c r="L141" s="44"/>
      <c r="M141" s="17"/>
      <c r="N141" s="138"/>
      <c r="O141" s="138" t="str">
        <f t="shared" si="12"/>
        <v/>
      </c>
      <c r="P141" s="139" t="str">
        <f t="shared" si="11"/>
        <v>-</v>
      </c>
      <c r="Q141" s="139"/>
      <c r="R141" s="139"/>
      <c r="S141" s="139"/>
      <c r="T141" s="139"/>
      <c r="U141" s="139"/>
    </row>
    <row r="142" spans="1:77" s="211" customFormat="1" ht="35.1" customHeight="1">
      <c r="A142" s="212" t="s">
        <v>41</v>
      </c>
      <c r="B142" s="213"/>
      <c r="C142" s="213"/>
      <c r="D142" s="214"/>
      <c r="E142" s="215"/>
      <c r="F142" s="215"/>
      <c r="G142" s="215">
        <f>SUM(G122:G141)</f>
        <v>0</v>
      </c>
      <c r="H142" s="214"/>
      <c r="I142" s="214"/>
      <c r="J142" s="214"/>
      <c r="K142" s="214"/>
      <c r="L142" s="214"/>
      <c r="M142" s="216"/>
      <c r="N142" s="138"/>
      <c r="O142" s="138" t="str">
        <f t="shared" si="12"/>
        <v/>
      </c>
      <c r="P142" s="139"/>
      <c r="Q142" s="139"/>
      <c r="R142" s="139"/>
      <c r="S142" s="139"/>
      <c r="T142" s="139"/>
      <c r="U142" s="139"/>
      <c r="V142" s="210"/>
      <c r="W142" s="210"/>
      <c r="X142" s="210"/>
      <c r="Y142" s="210"/>
      <c r="Z142" s="210"/>
      <c r="AA142" s="210"/>
      <c r="AB142" s="210"/>
      <c r="AC142" s="210"/>
      <c r="AD142" s="210"/>
      <c r="AE142" s="210"/>
      <c r="AF142" s="210"/>
      <c r="AG142" s="210"/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  <c r="BI142" s="210"/>
      <c r="BJ142" s="210"/>
      <c r="BK142" s="210"/>
      <c r="BL142" s="210"/>
      <c r="BM142" s="210"/>
      <c r="BN142" s="210"/>
      <c r="BO142" s="210"/>
      <c r="BP142" s="210"/>
      <c r="BQ142" s="210"/>
      <c r="BR142" s="210"/>
      <c r="BS142" s="210"/>
      <c r="BT142" s="210"/>
      <c r="BU142" s="210"/>
      <c r="BV142" s="210"/>
      <c r="BW142" s="210"/>
      <c r="BX142" s="210"/>
      <c r="BY142" s="210"/>
    </row>
    <row r="143" spans="1:77" s="140" customFormat="1" ht="35.1" customHeight="1">
      <c r="A143" s="58"/>
      <c r="B143" s="161"/>
      <c r="C143" s="82"/>
      <c r="D143" s="59"/>
      <c r="E143" s="59"/>
      <c r="F143" s="59"/>
      <c r="G143" s="59"/>
      <c r="H143" s="59"/>
      <c r="I143" s="59"/>
      <c r="J143" s="43"/>
      <c r="K143" s="43"/>
      <c r="L143" s="43"/>
      <c r="M143" s="16"/>
      <c r="N143" s="138"/>
      <c r="O143" s="138" t="str">
        <f t="shared" si="12"/>
        <v/>
      </c>
      <c r="P143" s="139" t="str">
        <f t="shared" ref="P143:P162" si="13">IF(E143&gt;=G143,"-","err")</f>
        <v>-</v>
      </c>
      <c r="Q143" s="139"/>
      <c r="R143" s="139"/>
      <c r="S143" s="139"/>
      <c r="T143" s="139"/>
      <c r="U143" s="139"/>
    </row>
    <row r="144" spans="1:77" s="140" customFormat="1" ht="35.1" customHeight="1">
      <c r="A144" s="92"/>
      <c r="B144" s="162"/>
      <c r="C144" s="96"/>
      <c r="D144" s="93"/>
      <c r="E144" s="93"/>
      <c r="F144" s="93"/>
      <c r="G144" s="93"/>
      <c r="H144" s="93"/>
      <c r="I144" s="93"/>
      <c r="J144" s="94"/>
      <c r="K144" s="94"/>
      <c r="L144" s="94"/>
      <c r="M144" s="95"/>
      <c r="N144" s="138"/>
      <c r="O144" s="138" t="str">
        <f t="shared" si="12"/>
        <v/>
      </c>
      <c r="P144" s="139" t="str">
        <f t="shared" si="13"/>
        <v>-</v>
      </c>
      <c r="Q144" s="139"/>
      <c r="R144" s="139"/>
      <c r="S144" s="139"/>
      <c r="T144" s="139"/>
      <c r="U144" s="139"/>
    </row>
    <row r="145" spans="1:21" s="140" customFormat="1" ht="35.1" customHeight="1">
      <c r="A145" s="63"/>
      <c r="B145" s="163"/>
      <c r="C145" s="83"/>
      <c r="D145" s="65"/>
      <c r="E145" s="65"/>
      <c r="F145" s="65"/>
      <c r="G145" s="65"/>
      <c r="H145" s="65"/>
      <c r="I145" s="65"/>
      <c r="J145" s="44"/>
      <c r="K145" s="44">
        <v>0</v>
      </c>
      <c r="L145" s="44">
        <v>0</v>
      </c>
      <c r="M145" s="17"/>
      <c r="N145" s="138"/>
      <c r="O145" s="138" t="str">
        <f t="shared" si="12"/>
        <v/>
      </c>
      <c r="P145" s="139" t="str">
        <f t="shared" si="13"/>
        <v>-</v>
      </c>
      <c r="Q145" s="139"/>
      <c r="R145" s="139"/>
      <c r="S145" s="139"/>
      <c r="T145" s="139"/>
      <c r="U145" s="139"/>
    </row>
    <row r="146" spans="1:21" s="140" customFormat="1" ht="35.1" customHeight="1">
      <c r="A146" s="63"/>
      <c r="B146" s="163"/>
      <c r="C146" s="84"/>
      <c r="D146" s="65"/>
      <c r="E146" s="65"/>
      <c r="F146" s="65"/>
      <c r="G146" s="65"/>
      <c r="H146" s="65"/>
      <c r="I146" s="65"/>
      <c r="J146" s="44"/>
      <c r="K146" s="44">
        <v>0</v>
      </c>
      <c r="L146" s="44">
        <v>0</v>
      </c>
      <c r="M146" s="17"/>
      <c r="N146" s="138"/>
      <c r="O146" s="138" t="str">
        <f t="shared" si="12"/>
        <v/>
      </c>
      <c r="P146" s="139" t="str">
        <f t="shared" si="13"/>
        <v>-</v>
      </c>
      <c r="Q146" s="139"/>
      <c r="R146" s="139"/>
      <c r="S146" s="139"/>
      <c r="T146" s="139"/>
      <c r="U146" s="139"/>
    </row>
    <row r="147" spans="1:21" s="140" customFormat="1" ht="35.1" customHeight="1">
      <c r="A147" s="63"/>
      <c r="B147" s="163"/>
      <c r="C147" s="89"/>
      <c r="D147" s="65"/>
      <c r="E147" s="65"/>
      <c r="F147" s="65"/>
      <c r="G147" s="65"/>
      <c r="H147" s="65"/>
      <c r="I147" s="65"/>
      <c r="J147" s="44"/>
      <c r="K147" s="44">
        <v>0</v>
      </c>
      <c r="L147" s="44">
        <v>0</v>
      </c>
      <c r="M147" s="17"/>
      <c r="N147" s="138"/>
      <c r="O147" s="138" t="str">
        <f t="shared" si="12"/>
        <v/>
      </c>
      <c r="P147" s="139" t="str">
        <f t="shared" si="13"/>
        <v>-</v>
      </c>
      <c r="Q147" s="139"/>
      <c r="R147" s="139"/>
      <c r="S147" s="139"/>
      <c r="T147" s="139"/>
      <c r="U147" s="139"/>
    </row>
    <row r="148" spans="1:21" s="140" customFormat="1" ht="35.1" customHeight="1">
      <c r="A148" s="63"/>
      <c r="B148" s="163"/>
      <c r="C148" s="89"/>
      <c r="D148" s="65"/>
      <c r="E148" s="65"/>
      <c r="F148" s="65"/>
      <c r="G148" s="65"/>
      <c r="H148" s="65"/>
      <c r="I148" s="65"/>
      <c r="J148" s="44"/>
      <c r="K148" s="44">
        <v>0</v>
      </c>
      <c r="L148" s="44">
        <v>0</v>
      </c>
      <c r="M148" s="17"/>
      <c r="N148" s="138"/>
      <c r="O148" s="138" t="str">
        <f t="shared" si="12"/>
        <v/>
      </c>
      <c r="P148" s="139" t="str">
        <f t="shared" si="13"/>
        <v>-</v>
      </c>
      <c r="Q148" s="139"/>
      <c r="R148" s="139"/>
      <c r="S148" s="139"/>
      <c r="T148" s="139"/>
      <c r="U148" s="139"/>
    </row>
    <row r="149" spans="1:21" s="140" customFormat="1" ht="35.1" customHeight="1">
      <c r="A149" s="63"/>
      <c r="B149" s="163"/>
      <c r="C149" s="89"/>
      <c r="D149" s="65"/>
      <c r="E149" s="65"/>
      <c r="F149" s="65"/>
      <c r="G149" s="65"/>
      <c r="H149" s="65"/>
      <c r="I149" s="65"/>
      <c r="J149" s="44"/>
      <c r="K149" s="44">
        <v>0</v>
      </c>
      <c r="L149" s="44">
        <v>0</v>
      </c>
      <c r="M149" s="17"/>
      <c r="N149" s="138"/>
      <c r="O149" s="138" t="str">
        <f t="shared" si="12"/>
        <v/>
      </c>
      <c r="P149" s="139" t="str">
        <f t="shared" si="13"/>
        <v>-</v>
      </c>
      <c r="Q149" s="139"/>
      <c r="R149" s="139"/>
      <c r="S149" s="139"/>
      <c r="T149" s="139"/>
      <c r="U149" s="139"/>
    </row>
    <row r="150" spans="1:21" s="140" customFormat="1" ht="35.1" customHeight="1">
      <c r="A150" s="63"/>
      <c r="B150" s="163"/>
      <c r="C150" s="89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138"/>
      <c r="O150" s="138" t="str">
        <f t="shared" si="12"/>
        <v/>
      </c>
      <c r="P150" s="139" t="str">
        <f t="shared" si="13"/>
        <v>-</v>
      </c>
      <c r="Q150" s="139"/>
      <c r="R150" s="139"/>
      <c r="S150" s="139"/>
      <c r="T150" s="139"/>
      <c r="U150" s="139"/>
    </row>
    <row r="151" spans="1:21" s="140" customFormat="1" ht="35.1" customHeight="1">
      <c r="A151" s="63"/>
      <c r="B151" s="163"/>
      <c r="C151" s="89"/>
      <c r="D151" s="65"/>
      <c r="E151" s="65"/>
      <c r="F151" s="65"/>
      <c r="G151" s="65"/>
      <c r="H151" s="65"/>
      <c r="I151" s="65"/>
      <c r="J151" s="44"/>
      <c r="K151" s="44">
        <v>0</v>
      </c>
      <c r="L151" s="44">
        <v>0</v>
      </c>
      <c r="M151" s="17"/>
      <c r="N151" s="138"/>
      <c r="O151" s="138" t="str">
        <f t="shared" si="12"/>
        <v/>
      </c>
      <c r="P151" s="139" t="str">
        <f t="shared" si="13"/>
        <v>-</v>
      </c>
      <c r="Q151" s="139"/>
      <c r="R151" s="139"/>
      <c r="S151" s="139"/>
      <c r="T151" s="139"/>
      <c r="U151" s="139"/>
    </row>
    <row r="152" spans="1:21" s="140" customFormat="1" ht="35.1" customHeight="1">
      <c r="A152" s="63"/>
      <c r="B152" s="163"/>
      <c r="C152" s="89"/>
      <c r="D152" s="65"/>
      <c r="E152" s="65"/>
      <c r="F152" s="65"/>
      <c r="G152" s="65"/>
      <c r="H152" s="65"/>
      <c r="I152" s="65"/>
      <c r="J152" s="44"/>
      <c r="K152" s="44">
        <v>0</v>
      </c>
      <c r="L152" s="44">
        <v>0</v>
      </c>
      <c r="M152" s="17"/>
      <c r="N152" s="138"/>
      <c r="O152" s="138" t="str">
        <f t="shared" si="12"/>
        <v/>
      </c>
      <c r="P152" s="139" t="str">
        <f t="shared" si="13"/>
        <v>-</v>
      </c>
      <c r="Q152" s="139"/>
      <c r="R152" s="139"/>
      <c r="S152" s="139"/>
      <c r="T152" s="139"/>
      <c r="U152" s="139"/>
    </row>
    <row r="153" spans="1:21" s="140" customFormat="1" ht="35.1" customHeight="1">
      <c r="A153" s="63"/>
      <c r="B153" s="163"/>
      <c r="C153" s="89"/>
      <c r="D153" s="65"/>
      <c r="E153" s="65"/>
      <c r="F153" s="65"/>
      <c r="G153" s="65"/>
      <c r="H153" s="65"/>
      <c r="I153" s="65"/>
      <c r="J153" s="44"/>
      <c r="K153" s="44">
        <v>0</v>
      </c>
      <c r="L153" s="44">
        <v>0</v>
      </c>
      <c r="M153" s="17"/>
      <c r="N153" s="138"/>
      <c r="O153" s="138" t="str">
        <f t="shared" si="12"/>
        <v/>
      </c>
      <c r="P153" s="139" t="str">
        <f t="shared" si="13"/>
        <v>-</v>
      </c>
      <c r="Q153" s="139"/>
      <c r="R153" s="139"/>
      <c r="S153" s="139"/>
      <c r="T153" s="139"/>
      <c r="U153" s="139"/>
    </row>
    <row r="154" spans="1:21" s="140" customFormat="1" ht="35.1" customHeight="1">
      <c r="A154" s="63"/>
      <c r="B154" s="163"/>
      <c r="C154" s="64"/>
      <c r="D154" s="65"/>
      <c r="E154" s="65"/>
      <c r="F154" s="65"/>
      <c r="G154" s="65"/>
      <c r="H154" s="65"/>
      <c r="I154" s="65"/>
      <c r="J154" s="44"/>
      <c r="K154" s="44"/>
      <c r="L154" s="44"/>
      <c r="M154" s="17"/>
      <c r="N154" s="138"/>
      <c r="O154" s="138" t="str">
        <f t="shared" si="12"/>
        <v/>
      </c>
      <c r="P154" s="139" t="str">
        <f t="shared" si="13"/>
        <v>-</v>
      </c>
      <c r="Q154" s="139"/>
      <c r="R154" s="139"/>
      <c r="S154" s="139"/>
      <c r="T154" s="139"/>
      <c r="U154" s="139"/>
    </row>
    <row r="155" spans="1:21" s="140" customFormat="1" ht="35.1" customHeight="1">
      <c r="A155" s="63"/>
      <c r="B155" s="163"/>
      <c r="C155" s="64"/>
      <c r="D155" s="65"/>
      <c r="E155" s="65"/>
      <c r="F155" s="65"/>
      <c r="G155" s="65"/>
      <c r="H155" s="65"/>
      <c r="I155" s="65"/>
      <c r="J155" s="44"/>
      <c r="K155" s="44"/>
      <c r="L155" s="44"/>
      <c r="M155" s="17"/>
      <c r="N155" s="138"/>
      <c r="O155" s="138" t="str">
        <f t="shared" si="12"/>
        <v/>
      </c>
      <c r="P155" s="139" t="str">
        <f t="shared" si="13"/>
        <v>-</v>
      </c>
      <c r="Q155" s="139"/>
      <c r="R155" s="139"/>
      <c r="S155" s="139"/>
      <c r="T155" s="139"/>
      <c r="U155" s="139"/>
    </row>
    <row r="156" spans="1:21" s="140" customFormat="1" ht="35.1" customHeight="1">
      <c r="A156" s="63"/>
      <c r="B156" s="163"/>
      <c r="C156" s="64"/>
      <c r="D156" s="65"/>
      <c r="E156" s="65"/>
      <c r="F156" s="65"/>
      <c r="G156" s="65"/>
      <c r="H156" s="65"/>
      <c r="I156" s="65"/>
      <c r="J156" s="44"/>
      <c r="K156" s="44"/>
      <c r="L156" s="44"/>
      <c r="M156" s="17"/>
      <c r="N156" s="138"/>
      <c r="O156" s="138" t="str">
        <f t="shared" si="12"/>
        <v/>
      </c>
      <c r="P156" s="139" t="str">
        <f t="shared" si="13"/>
        <v>-</v>
      </c>
      <c r="Q156" s="139"/>
      <c r="R156" s="139"/>
      <c r="S156" s="139"/>
      <c r="T156" s="139"/>
      <c r="U156" s="139"/>
    </row>
    <row r="157" spans="1:21" s="140" customFormat="1" ht="35.1" customHeight="1">
      <c r="A157" s="63"/>
      <c r="B157" s="163"/>
      <c r="C157" s="64"/>
      <c r="D157" s="65"/>
      <c r="E157" s="65"/>
      <c r="F157" s="65"/>
      <c r="G157" s="65"/>
      <c r="H157" s="65"/>
      <c r="I157" s="65"/>
      <c r="J157" s="44"/>
      <c r="K157" s="44"/>
      <c r="L157" s="44"/>
      <c r="M157" s="17"/>
      <c r="N157" s="138"/>
      <c r="O157" s="138" t="str">
        <f t="shared" si="12"/>
        <v/>
      </c>
      <c r="P157" s="139" t="str">
        <f t="shared" si="13"/>
        <v>-</v>
      </c>
      <c r="Q157" s="139"/>
      <c r="R157" s="139"/>
      <c r="S157" s="139"/>
      <c r="T157" s="139"/>
      <c r="U157" s="139"/>
    </row>
    <row r="158" spans="1:21" s="140" customFormat="1" ht="35.1" customHeight="1">
      <c r="A158" s="63"/>
      <c r="B158" s="163"/>
      <c r="C158" s="64"/>
      <c r="D158" s="65"/>
      <c r="E158" s="65"/>
      <c r="F158" s="65"/>
      <c r="G158" s="65"/>
      <c r="H158" s="65"/>
      <c r="I158" s="65"/>
      <c r="J158" s="44"/>
      <c r="K158" s="44"/>
      <c r="L158" s="44"/>
      <c r="M158" s="17"/>
      <c r="N158" s="138"/>
      <c r="O158" s="138" t="str">
        <f t="shared" si="12"/>
        <v/>
      </c>
      <c r="P158" s="139" t="str">
        <f t="shared" si="13"/>
        <v>-</v>
      </c>
      <c r="Q158" s="139"/>
      <c r="R158" s="139"/>
      <c r="S158" s="139"/>
      <c r="T158" s="139"/>
      <c r="U158" s="139"/>
    </row>
    <row r="159" spans="1:21" s="140" customFormat="1" ht="35.1" customHeight="1">
      <c r="A159" s="63"/>
      <c r="B159" s="163"/>
      <c r="C159" s="64"/>
      <c r="D159" s="65"/>
      <c r="E159" s="65"/>
      <c r="F159" s="65"/>
      <c r="G159" s="65"/>
      <c r="H159" s="65"/>
      <c r="I159" s="65"/>
      <c r="J159" s="44"/>
      <c r="K159" s="44"/>
      <c r="L159" s="44"/>
      <c r="M159" s="17"/>
      <c r="N159" s="138"/>
      <c r="O159" s="138" t="str">
        <f t="shared" si="12"/>
        <v/>
      </c>
      <c r="P159" s="139" t="str">
        <f t="shared" si="13"/>
        <v>-</v>
      </c>
      <c r="Q159" s="139"/>
      <c r="R159" s="139"/>
      <c r="S159" s="139"/>
      <c r="T159" s="139"/>
      <c r="U159" s="139"/>
    </row>
    <row r="160" spans="1:21" s="140" customFormat="1" ht="35.1" customHeight="1">
      <c r="A160" s="63"/>
      <c r="B160" s="163"/>
      <c r="C160" s="64"/>
      <c r="D160" s="65"/>
      <c r="E160" s="65"/>
      <c r="F160" s="65"/>
      <c r="G160" s="65"/>
      <c r="H160" s="65"/>
      <c r="I160" s="65"/>
      <c r="J160" s="44"/>
      <c r="K160" s="44"/>
      <c r="L160" s="44"/>
      <c r="M160" s="17"/>
      <c r="N160" s="138"/>
      <c r="O160" s="138" t="str">
        <f t="shared" si="12"/>
        <v/>
      </c>
      <c r="P160" s="139" t="str">
        <f t="shared" si="13"/>
        <v>-</v>
      </c>
      <c r="Q160" s="139"/>
      <c r="R160" s="139"/>
      <c r="S160" s="139"/>
      <c r="T160" s="139"/>
      <c r="U160" s="139"/>
    </row>
    <row r="161" spans="1:77" s="140" customFormat="1" ht="35.1" customHeight="1">
      <c r="A161" s="63"/>
      <c r="B161" s="163"/>
      <c r="C161" s="64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138"/>
      <c r="O161" s="138" t="str">
        <f t="shared" si="12"/>
        <v/>
      </c>
      <c r="P161" s="139" t="str">
        <f t="shared" si="13"/>
        <v>-</v>
      </c>
      <c r="Q161" s="139"/>
      <c r="R161" s="139"/>
      <c r="S161" s="139"/>
      <c r="T161" s="139"/>
      <c r="U161" s="139"/>
    </row>
    <row r="162" spans="1:77" s="140" customFormat="1" ht="35.1" customHeight="1">
      <c r="A162" s="63"/>
      <c r="B162" s="163"/>
      <c r="C162" s="64"/>
      <c r="D162" s="65"/>
      <c r="E162" s="65"/>
      <c r="F162" s="65"/>
      <c r="G162" s="65"/>
      <c r="H162" s="65"/>
      <c r="I162" s="65"/>
      <c r="J162" s="44"/>
      <c r="K162" s="44"/>
      <c r="L162" s="44"/>
      <c r="M162" s="17"/>
      <c r="N162" s="138"/>
      <c r="O162" s="138" t="str">
        <f t="shared" si="12"/>
        <v/>
      </c>
      <c r="P162" s="139" t="str">
        <f t="shared" si="13"/>
        <v>-</v>
      </c>
      <c r="Q162" s="139"/>
      <c r="R162" s="139"/>
      <c r="S162" s="139"/>
      <c r="T162" s="139"/>
      <c r="U162" s="139"/>
    </row>
    <row r="163" spans="1:77" s="211" customFormat="1" ht="35.1" customHeight="1">
      <c r="A163" s="212" t="s">
        <v>41</v>
      </c>
      <c r="B163" s="213"/>
      <c r="C163" s="213"/>
      <c r="D163" s="214"/>
      <c r="E163" s="215"/>
      <c r="F163" s="215"/>
      <c r="G163" s="215">
        <f>SUM(G143:G162)</f>
        <v>0</v>
      </c>
      <c r="H163" s="214"/>
      <c r="I163" s="214"/>
      <c r="J163" s="214"/>
      <c r="K163" s="214"/>
      <c r="L163" s="214"/>
      <c r="M163" s="216"/>
      <c r="N163" s="138"/>
      <c r="O163" s="138" t="str">
        <f t="shared" si="12"/>
        <v/>
      </c>
      <c r="P163" s="139"/>
      <c r="Q163" s="139"/>
      <c r="R163" s="139"/>
      <c r="S163" s="139"/>
      <c r="T163" s="139"/>
      <c r="U163" s="139"/>
      <c r="V163" s="210"/>
      <c r="W163" s="210"/>
      <c r="X163" s="210"/>
      <c r="Y163" s="210"/>
      <c r="Z163" s="210"/>
      <c r="AA163" s="210"/>
      <c r="AB163" s="210"/>
      <c r="AC163" s="210"/>
      <c r="AD163" s="210"/>
      <c r="AE163" s="210"/>
      <c r="AF163" s="210"/>
      <c r="AG163" s="210"/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  <c r="BI163" s="210"/>
      <c r="BJ163" s="210"/>
      <c r="BK163" s="210"/>
      <c r="BL163" s="210"/>
      <c r="BM163" s="210"/>
      <c r="BN163" s="210"/>
      <c r="BO163" s="210"/>
      <c r="BP163" s="210"/>
      <c r="BQ163" s="210"/>
      <c r="BR163" s="210"/>
      <c r="BS163" s="210"/>
      <c r="BT163" s="210"/>
      <c r="BU163" s="210"/>
      <c r="BV163" s="210"/>
      <c r="BW163" s="210"/>
      <c r="BX163" s="210"/>
      <c r="BY163" s="210"/>
    </row>
    <row r="164" spans="1:77" s="140" customFormat="1" ht="35.1" customHeight="1">
      <c r="A164" s="58"/>
      <c r="B164" s="161"/>
      <c r="C164" s="82"/>
      <c r="D164" s="59"/>
      <c r="E164" s="59"/>
      <c r="F164" s="59"/>
      <c r="G164" s="59"/>
      <c r="H164" s="59"/>
      <c r="I164" s="59"/>
      <c r="J164" s="43"/>
      <c r="K164" s="43"/>
      <c r="L164" s="43"/>
      <c r="M164" s="16"/>
      <c r="N164" s="138"/>
      <c r="O164" s="138" t="str">
        <f t="shared" si="12"/>
        <v/>
      </c>
      <c r="P164" s="139" t="str">
        <f t="shared" ref="P164:P183" si="14">IF(E164&gt;=G164,"-","err")</f>
        <v>-</v>
      </c>
      <c r="Q164" s="139"/>
      <c r="R164" s="139"/>
      <c r="S164" s="139"/>
      <c r="T164" s="139"/>
      <c r="U164" s="139"/>
    </row>
    <row r="165" spans="1:77" s="140" customFormat="1" ht="35.1" customHeight="1">
      <c r="A165" s="92"/>
      <c r="B165" s="162"/>
      <c r="C165" s="96"/>
      <c r="D165" s="93"/>
      <c r="E165" s="93"/>
      <c r="F165" s="93"/>
      <c r="G165" s="93"/>
      <c r="H165" s="93"/>
      <c r="I165" s="93"/>
      <c r="J165" s="94"/>
      <c r="K165" s="94"/>
      <c r="L165" s="94"/>
      <c r="M165" s="95"/>
      <c r="N165" s="138"/>
      <c r="O165" s="138" t="str">
        <f t="shared" si="12"/>
        <v/>
      </c>
      <c r="P165" s="139" t="str">
        <f t="shared" si="14"/>
        <v>-</v>
      </c>
      <c r="Q165" s="139"/>
      <c r="R165" s="139"/>
      <c r="S165" s="139"/>
      <c r="T165" s="139"/>
      <c r="U165" s="139"/>
    </row>
    <row r="166" spans="1:77" s="140" customFormat="1" ht="35.1" customHeight="1">
      <c r="A166" s="63"/>
      <c r="B166" s="163"/>
      <c r="C166" s="83"/>
      <c r="D166" s="65"/>
      <c r="E166" s="65"/>
      <c r="F166" s="65"/>
      <c r="G166" s="65"/>
      <c r="H166" s="65"/>
      <c r="I166" s="65"/>
      <c r="J166" s="44">
        <v>0</v>
      </c>
      <c r="K166" s="44">
        <v>0</v>
      </c>
      <c r="L166" s="44">
        <v>0</v>
      </c>
      <c r="M166" s="17"/>
      <c r="N166" s="138"/>
      <c r="O166" s="138" t="str">
        <f t="shared" si="12"/>
        <v/>
      </c>
      <c r="P166" s="139" t="str">
        <f t="shared" si="14"/>
        <v>-</v>
      </c>
      <c r="Q166" s="139"/>
      <c r="R166" s="139"/>
      <c r="S166" s="139"/>
      <c r="T166" s="139"/>
      <c r="U166" s="139"/>
    </row>
    <row r="167" spans="1:77" s="140" customFormat="1" ht="35.1" customHeight="1">
      <c r="A167" s="63"/>
      <c r="B167" s="163"/>
      <c r="C167" s="84"/>
      <c r="D167" s="65"/>
      <c r="E167" s="65"/>
      <c r="F167" s="65"/>
      <c r="G167" s="65"/>
      <c r="H167" s="65"/>
      <c r="I167" s="65"/>
      <c r="J167" s="44">
        <v>0</v>
      </c>
      <c r="K167" s="44">
        <v>0</v>
      </c>
      <c r="L167" s="44">
        <v>0</v>
      </c>
      <c r="M167" s="17"/>
      <c r="N167" s="138"/>
      <c r="O167" s="138" t="str">
        <f t="shared" si="12"/>
        <v/>
      </c>
      <c r="P167" s="139" t="str">
        <f t="shared" si="14"/>
        <v>-</v>
      </c>
      <c r="Q167" s="139"/>
      <c r="R167" s="139"/>
      <c r="S167" s="139"/>
      <c r="T167" s="139"/>
      <c r="U167" s="139"/>
    </row>
    <row r="168" spans="1:77" s="140" customFormat="1" ht="35.1" customHeight="1">
      <c r="A168" s="63"/>
      <c r="B168" s="163"/>
      <c r="C168" s="89"/>
      <c r="D168" s="65"/>
      <c r="E168" s="65"/>
      <c r="F168" s="65"/>
      <c r="G168" s="65"/>
      <c r="H168" s="65"/>
      <c r="I168" s="65"/>
      <c r="J168" s="44">
        <v>0</v>
      </c>
      <c r="K168" s="44">
        <v>0</v>
      </c>
      <c r="L168" s="44">
        <v>0</v>
      </c>
      <c r="M168" s="17"/>
      <c r="N168" s="138"/>
      <c r="O168" s="138" t="str">
        <f t="shared" si="12"/>
        <v/>
      </c>
      <c r="P168" s="139" t="str">
        <f t="shared" si="14"/>
        <v>-</v>
      </c>
      <c r="Q168" s="139"/>
      <c r="R168" s="139"/>
      <c r="S168" s="139"/>
      <c r="T168" s="139"/>
      <c r="U168" s="139"/>
    </row>
    <row r="169" spans="1:77" s="140" customFormat="1" ht="35.1" customHeight="1">
      <c r="A169" s="63"/>
      <c r="B169" s="163"/>
      <c r="C169" s="89"/>
      <c r="D169" s="65"/>
      <c r="E169" s="65"/>
      <c r="F169" s="65"/>
      <c r="G169" s="65"/>
      <c r="H169" s="65"/>
      <c r="I169" s="65"/>
      <c r="J169" s="44">
        <v>0</v>
      </c>
      <c r="K169" s="44">
        <v>0</v>
      </c>
      <c r="L169" s="44">
        <v>0</v>
      </c>
      <c r="M169" s="17"/>
      <c r="N169" s="138"/>
      <c r="O169" s="138" t="str">
        <f t="shared" si="12"/>
        <v/>
      </c>
      <c r="P169" s="139" t="str">
        <f t="shared" si="14"/>
        <v>-</v>
      </c>
      <c r="Q169" s="139"/>
      <c r="R169" s="139"/>
      <c r="S169" s="139"/>
      <c r="T169" s="139"/>
      <c r="U169" s="139"/>
    </row>
    <row r="170" spans="1:77" s="140" customFormat="1" ht="35.1" customHeight="1">
      <c r="A170" s="63"/>
      <c r="B170" s="163"/>
      <c r="C170" s="89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138"/>
      <c r="O170" s="138" t="str">
        <f t="shared" si="12"/>
        <v/>
      </c>
      <c r="P170" s="139" t="str">
        <f t="shared" si="14"/>
        <v>-</v>
      </c>
      <c r="Q170" s="139"/>
      <c r="R170" s="139"/>
      <c r="S170" s="139"/>
      <c r="T170" s="139"/>
      <c r="U170" s="139"/>
    </row>
    <row r="171" spans="1:77" s="140" customFormat="1" ht="35.1" customHeight="1">
      <c r="A171" s="63"/>
      <c r="B171" s="163"/>
      <c r="C171" s="89"/>
      <c r="D171" s="65"/>
      <c r="E171" s="65"/>
      <c r="F171" s="65"/>
      <c r="G171" s="65"/>
      <c r="H171" s="65"/>
      <c r="I171" s="65"/>
      <c r="J171" s="44"/>
      <c r="K171" s="44"/>
      <c r="L171" s="44"/>
      <c r="M171" s="17"/>
      <c r="N171" s="138"/>
      <c r="O171" s="138" t="str">
        <f t="shared" si="12"/>
        <v/>
      </c>
      <c r="P171" s="139" t="str">
        <f t="shared" si="14"/>
        <v>-</v>
      </c>
      <c r="Q171" s="139"/>
      <c r="R171" s="139"/>
      <c r="S171" s="139"/>
      <c r="T171" s="139"/>
      <c r="U171" s="139"/>
    </row>
    <row r="172" spans="1:77" s="140" customFormat="1" ht="35.1" customHeight="1">
      <c r="A172" s="63"/>
      <c r="B172" s="163"/>
      <c r="C172" s="89"/>
      <c r="D172" s="65"/>
      <c r="E172" s="65"/>
      <c r="F172" s="65"/>
      <c r="G172" s="65"/>
      <c r="H172" s="65"/>
      <c r="I172" s="65"/>
      <c r="J172" s="44"/>
      <c r="K172" s="44"/>
      <c r="L172" s="44"/>
      <c r="M172" s="17"/>
      <c r="N172" s="138"/>
      <c r="O172" s="138" t="str">
        <f t="shared" si="12"/>
        <v/>
      </c>
      <c r="P172" s="139" t="str">
        <f t="shared" si="14"/>
        <v>-</v>
      </c>
      <c r="Q172" s="139"/>
      <c r="R172" s="139"/>
      <c r="S172" s="139"/>
      <c r="T172" s="139"/>
      <c r="U172" s="139"/>
    </row>
    <row r="173" spans="1:77" s="140" customFormat="1" ht="35.1" customHeight="1">
      <c r="A173" s="63"/>
      <c r="B173" s="163"/>
      <c r="C173" s="89"/>
      <c r="D173" s="65"/>
      <c r="E173" s="65"/>
      <c r="F173" s="65"/>
      <c r="G173" s="65"/>
      <c r="H173" s="65"/>
      <c r="I173" s="65"/>
      <c r="J173" s="44">
        <v>0</v>
      </c>
      <c r="K173" s="44">
        <v>0</v>
      </c>
      <c r="L173" s="44">
        <v>0</v>
      </c>
      <c r="M173" s="17"/>
      <c r="N173" s="138"/>
      <c r="O173" s="138" t="str">
        <f t="shared" si="12"/>
        <v/>
      </c>
      <c r="P173" s="139" t="str">
        <f t="shared" si="14"/>
        <v>-</v>
      </c>
      <c r="Q173" s="139"/>
      <c r="R173" s="139"/>
      <c r="S173" s="139"/>
      <c r="T173" s="139"/>
      <c r="U173" s="139"/>
    </row>
    <row r="174" spans="1:77" s="140" customFormat="1" ht="35.1" customHeight="1">
      <c r="A174" s="63"/>
      <c r="B174" s="163"/>
      <c r="C174" s="89"/>
      <c r="D174" s="65"/>
      <c r="E174" s="65"/>
      <c r="F174" s="65"/>
      <c r="G174" s="65"/>
      <c r="H174" s="65"/>
      <c r="I174" s="65"/>
      <c r="J174" s="44">
        <v>0</v>
      </c>
      <c r="K174" s="44">
        <v>0</v>
      </c>
      <c r="L174" s="44">
        <v>0</v>
      </c>
      <c r="M174" s="17"/>
      <c r="N174" s="138"/>
      <c r="O174" s="138" t="str">
        <f t="shared" si="12"/>
        <v/>
      </c>
      <c r="P174" s="139" t="str">
        <f t="shared" si="14"/>
        <v>-</v>
      </c>
      <c r="Q174" s="139"/>
      <c r="R174" s="139"/>
      <c r="S174" s="139"/>
      <c r="T174" s="139"/>
      <c r="U174" s="139"/>
    </row>
    <row r="175" spans="1:77" s="140" customFormat="1" ht="35.1" customHeight="1">
      <c r="A175" s="63"/>
      <c r="B175" s="163"/>
      <c r="C175" s="64"/>
      <c r="D175" s="65"/>
      <c r="E175" s="65"/>
      <c r="F175" s="65"/>
      <c r="G175" s="65"/>
      <c r="H175" s="65"/>
      <c r="I175" s="65"/>
      <c r="J175" s="44"/>
      <c r="K175" s="44"/>
      <c r="L175" s="44"/>
      <c r="M175" s="17"/>
      <c r="N175" s="138"/>
      <c r="O175" s="138" t="str">
        <f t="shared" si="12"/>
        <v/>
      </c>
      <c r="P175" s="139" t="str">
        <f t="shared" si="14"/>
        <v>-</v>
      </c>
      <c r="Q175" s="139"/>
      <c r="R175" s="139"/>
      <c r="S175" s="139"/>
      <c r="T175" s="139"/>
      <c r="U175" s="139"/>
    </row>
    <row r="176" spans="1:77" s="140" customFormat="1" ht="35.1" customHeight="1">
      <c r="A176" s="63"/>
      <c r="B176" s="163"/>
      <c r="C176" s="64"/>
      <c r="D176" s="65"/>
      <c r="E176" s="65"/>
      <c r="F176" s="65"/>
      <c r="G176" s="65"/>
      <c r="H176" s="65"/>
      <c r="I176" s="65"/>
      <c r="J176" s="44"/>
      <c r="K176" s="44"/>
      <c r="L176" s="44"/>
      <c r="M176" s="17"/>
      <c r="N176" s="138"/>
      <c r="O176" s="138" t="str">
        <f t="shared" si="12"/>
        <v/>
      </c>
      <c r="P176" s="139" t="str">
        <f t="shared" si="14"/>
        <v>-</v>
      </c>
      <c r="Q176" s="139"/>
      <c r="R176" s="139"/>
      <c r="S176" s="139"/>
      <c r="T176" s="139"/>
      <c r="U176" s="139"/>
    </row>
    <row r="177" spans="1:77" s="140" customFormat="1" ht="35.1" customHeight="1">
      <c r="A177" s="63"/>
      <c r="B177" s="163"/>
      <c r="C177" s="64"/>
      <c r="D177" s="65"/>
      <c r="E177" s="65"/>
      <c r="F177" s="65"/>
      <c r="G177" s="65"/>
      <c r="H177" s="65"/>
      <c r="I177" s="65"/>
      <c r="J177" s="44"/>
      <c r="K177" s="44"/>
      <c r="L177" s="44"/>
      <c r="M177" s="17"/>
      <c r="N177" s="138"/>
      <c r="O177" s="138" t="str">
        <f t="shared" si="12"/>
        <v/>
      </c>
      <c r="P177" s="139" t="str">
        <f t="shared" si="14"/>
        <v>-</v>
      </c>
      <c r="Q177" s="139"/>
      <c r="R177" s="139"/>
      <c r="S177" s="139"/>
      <c r="T177" s="139"/>
      <c r="U177" s="139"/>
    </row>
    <row r="178" spans="1:77" s="140" customFormat="1" ht="35.1" customHeight="1">
      <c r="A178" s="63"/>
      <c r="B178" s="163"/>
      <c r="C178" s="64"/>
      <c r="D178" s="65"/>
      <c r="E178" s="65"/>
      <c r="F178" s="65"/>
      <c r="G178" s="65"/>
      <c r="H178" s="65"/>
      <c r="I178" s="65"/>
      <c r="J178" s="44"/>
      <c r="K178" s="44"/>
      <c r="L178" s="44"/>
      <c r="M178" s="17"/>
      <c r="N178" s="138"/>
      <c r="O178" s="138" t="str">
        <f t="shared" si="12"/>
        <v/>
      </c>
      <c r="P178" s="139" t="str">
        <f t="shared" si="14"/>
        <v>-</v>
      </c>
      <c r="Q178" s="139"/>
      <c r="R178" s="139"/>
      <c r="S178" s="139"/>
      <c r="T178" s="139"/>
      <c r="U178" s="139"/>
    </row>
    <row r="179" spans="1:77" s="140" customFormat="1" ht="35.1" customHeight="1">
      <c r="A179" s="63"/>
      <c r="B179" s="163"/>
      <c r="C179" s="64"/>
      <c r="D179" s="65"/>
      <c r="E179" s="65"/>
      <c r="F179" s="65"/>
      <c r="G179" s="65"/>
      <c r="H179" s="65"/>
      <c r="I179" s="65"/>
      <c r="J179" s="44"/>
      <c r="K179" s="44"/>
      <c r="L179" s="44"/>
      <c r="M179" s="17"/>
      <c r="N179" s="138"/>
      <c r="O179" s="138" t="str">
        <f t="shared" si="12"/>
        <v/>
      </c>
      <c r="P179" s="139" t="str">
        <f t="shared" si="14"/>
        <v>-</v>
      </c>
      <c r="Q179" s="139"/>
      <c r="R179" s="139"/>
      <c r="S179" s="139"/>
      <c r="T179" s="139"/>
      <c r="U179" s="139"/>
    </row>
    <row r="180" spans="1:77" s="140" customFormat="1" ht="35.1" customHeight="1">
      <c r="A180" s="63"/>
      <c r="B180" s="163"/>
      <c r="C180" s="64"/>
      <c r="D180" s="65"/>
      <c r="E180" s="65"/>
      <c r="F180" s="65"/>
      <c r="G180" s="65"/>
      <c r="H180" s="65"/>
      <c r="I180" s="65"/>
      <c r="J180" s="44"/>
      <c r="K180" s="44"/>
      <c r="L180" s="44"/>
      <c r="M180" s="17"/>
      <c r="N180" s="138"/>
      <c r="O180" s="138" t="str">
        <f t="shared" si="12"/>
        <v/>
      </c>
      <c r="P180" s="139" t="str">
        <f t="shared" si="14"/>
        <v>-</v>
      </c>
      <c r="Q180" s="139"/>
      <c r="R180" s="139"/>
      <c r="S180" s="139"/>
      <c r="T180" s="139"/>
      <c r="U180" s="139"/>
    </row>
    <row r="181" spans="1:77" s="140" customFormat="1" ht="35.1" customHeight="1">
      <c r="A181" s="63"/>
      <c r="B181" s="163"/>
      <c r="C181" s="64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138"/>
      <c r="O181" s="138" t="str">
        <f t="shared" si="12"/>
        <v/>
      </c>
      <c r="P181" s="139" t="str">
        <f t="shared" si="14"/>
        <v>-</v>
      </c>
      <c r="Q181" s="139"/>
      <c r="R181" s="139"/>
      <c r="S181" s="139"/>
      <c r="T181" s="139"/>
      <c r="U181" s="139"/>
    </row>
    <row r="182" spans="1:77" s="140" customFormat="1" ht="35.1" customHeight="1">
      <c r="A182" s="63"/>
      <c r="B182" s="163"/>
      <c r="C182" s="64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138"/>
      <c r="O182" s="138" t="str">
        <f t="shared" si="12"/>
        <v/>
      </c>
      <c r="P182" s="139" t="str">
        <f t="shared" si="14"/>
        <v>-</v>
      </c>
      <c r="Q182" s="139"/>
      <c r="R182" s="139"/>
      <c r="S182" s="139"/>
      <c r="T182" s="139"/>
      <c r="U182" s="139"/>
    </row>
    <row r="183" spans="1:77" s="140" customFormat="1" ht="35.1" customHeight="1">
      <c r="A183" s="63"/>
      <c r="B183" s="163"/>
      <c r="C183" s="64"/>
      <c r="D183" s="65"/>
      <c r="E183" s="65"/>
      <c r="F183" s="65"/>
      <c r="G183" s="65"/>
      <c r="H183" s="65"/>
      <c r="I183" s="65"/>
      <c r="J183" s="44"/>
      <c r="K183" s="44"/>
      <c r="L183" s="44"/>
      <c r="M183" s="17"/>
      <c r="N183" s="138"/>
      <c r="O183" s="138" t="str">
        <f t="shared" si="12"/>
        <v/>
      </c>
      <c r="P183" s="139" t="str">
        <f t="shared" si="14"/>
        <v>-</v>
      </c>
      <c r="Q183" s="139"/>
      <c r="R183" s="139"/>
      <c r="S183" s="139"/>
      <c r="T183" s="139"/>
      <c r="U183" s="139"/>
    </row>
    <row r="184" spans="1:77" s="211" customFormat="1" ht="35.1" customHeight="1">
      <c r="A184" s="212" t="s">
        <v>41</v>
      </c>
      <c r="B184" s="213"/>
      <c r="C184" s="213"/>
      <c r="D184" s="214"/>
      <c r="E184" s="215"/>
      <c r="F184" s="215"/>
      <c r="G184" s="215">
        <f>SUM(G164:G183)</f>
        <v>0</v>
      </c>
      <c r="H184" s="214"/>
      <c r="I184" s="214"/>
      <c r="J184" s="214"/>
      <c r="K184" s="214"/>
      <c r="L184" s="214"/>
      <c r="M184" s="216"/>
      <c r="N184" s="138"/>
      <c r="O184" s="138" t="str">
        <f t="shared" si="12"/>
        <v/>
      </c>
      <c r="P184" s="139"/>
      <c r="Q184" s="139"/>
      <c r="R184" s="139"/>
      <c r="S184" s="139"/>
      <c r="T184" s="139"/>
      <c r="U184" s="139"/>
      <c r="V184" s="210"/>
      <c r="W184" s="210"/>
      <c r="X184" s="210"/>
      <c r="Y184" s="210"/>
      <c r="Z184" s="210"/>
      <c r="AA184" s="210"/>
      <c r="AB184" s="210"/>
      <c r="AC184" s="210"/>
      <c r="AD184" s="210"/>
      <c r="AE184" s="210"/>
      <c r="AF184" s="210"/>
      <c r="AG184" s="210"/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  <c r="BI184" s="210"/>
      <c r="BJ184" s="210"/>
      <c r="BK184" s="210"/>
      <c r="BL184" s="210"/>
      <c r="BM184" s="210"/>
      <c r="BN184" s="210"/>
      <c r="BO184" s="210"/>
      <c r="BP184" s="210"/>
      <c r="BQ184" s="210"/>
      <c r="BR184" s="210"/>
      <c r="BS184" s="210"/>
      <c r="BT184" s="210"/>
      <c r="BU184" s="210"/>
      <c r="BV184" s="210"/>
      <c r="BW184" s="210"/>
      <c r="BX184" s="210"/>
      <c r="BY184" s="210"/>
    </row>
    <row r="185" spans="1:77" s="140" customFormat="1" ht="35.1" customHeight="1">
      <c r="A185" s="58"/>
      <c r="B185" s="161"/>
      <c r="C185" s="82"/>
      <c r="D185" s="59"/>
      <c r="E185" s="59"/>
      <c r="F185" s="59"/>
      <c r="G185" s="59"/>
      <c r="H185" s="59"/>
      <c r="I185" s="59"/>
      <c r="J185" s="43"/>
      <c r="K185" s="43"/>
      <c r="L185" s="43"/>
      <c r="M185" s="16"/>
      <c r="N185" s="138"/>
      <c r="O185" s="138" t="str">
        <f t="shared" si="12"/>
        <v/>
      </c>
      <c r="P185" s="139" t="str">
        <f t="shared" ref="P185:P204" si="15">IF(E185&gt;=G185,"-","err")</f>
        <v>-</v>
      </c>
      <c r="Q185" s="139"/>
      <c r="R185" s="139"/>
      <c r="S185" s="139"/>
      <c r="T185" s="139"/>
      <c r="U185" s="139"/>
    </row>
    <row r="186" spans="1:77" s="140" customFormat="1" ht="35.1" customHeight="1">
      <c r="A186" s="92"/>
      <c r="B186" s="162"/>
      <c r="C186" s="96"/>
      <c r="D186" s="93"/>
      <c r="E186" s="93"/>
      <c r="F186" s="93"/>
      <c r="G186" s="93"/>
      <c r="H186" s="93"/>
      <c r="I186" s="93"/>
      <c r="J186" s="94"/>
      <c r="K186" s="94"/>
      <c r="L186" s="94"/>
      <c r="M186" s="95"/>
      <c r="N186" s="138"/>
      <c r="O186" s="138" t="str">
        <f t="shared" si="12"/>
        <v/>
      </c>
      <c r="P186" s="139" t="str">
        <f t="shared" si="15"/>
        <v>-</v>
      </c>
      <c r="Q186" s="139"/>
      <c r="R186" s="139"/>
      <c r="S186" s="139"/>
      <c r="T186" s="139"/>
      <c r="U186" s="139"/>
    </row>
    <row r="187" spans="1:77" s="140" customFormat="1" ht="35.1" customHeight="1">
      <c r="A187" s="63"/>
      <c r="B187" s="163"/>
      <c r="C187" s="83"/>
      <c r="D187" s="65"/>
      <c r="E187" s="65"/>
      <c r="F187" s="65"/>
      <c r="G187" s="65"/>
      <c r="H187" s="65"/>
      <c r="I187" s="65"/>
      <c r="J187" s="44"/>
      <c r="K187" s="44">
        <v>0</v>
      </c>
      <c r="L187" s="44">
        <v>0</v>
      </c>
      <c r="M187" s="17"/>
      <c r="N187" s="138"/>
      <c r="O187" s="138" t="str">
        <f t="shared" si="12"/>
        <v/>
      </c>
      <c r="P187" s="139" t="str">
        <f t="shared" si="15"/>
        <v>-</v>
      </c>
      <c r="Q187" s="139"/>
      <c r="R187" s="139"/>
      <c r="S187" s="139"/>
      <c r="T187" s="139"/>
      <c r="U187" s="139"/>
    </row>
    <row r="188" spans="1:77" s="140" customFormat="1" ht="35.1" customHeight="1">
      <c r="A188" s="63"/>
      <c r="B188" s="163"/>
      <c r="C188" s="84"/>
      <c r="D188" s="65"/>
      <c r="E188" s="65"/>
      <c r="F188" s="65"/>
      <c r="G188" s="65"/>
      <c r="H188" s="65"/>
      <c r="I188" s="65"/>
      <c r="J188" s="44"/>
      <c r="K188" s="44">
        <v>0</v>
      </c>
      <c r="L188" s="44">
        <v>0</v>
      </c>
      <c r="M188" s="17"/>
      <c r="N188" s="138"/>
      <c r="O188" s="138" t="str">
        <f t="shared" si="12"/>
        <v/>
      </c>
      <c r="P188" s="139" t="str">
        <f t="shared" si="15"/>
        <v>-</v>
      </c>
      <c r="Q188" s="139"/>
      <c r="R188" s="139"/>
      <c r="S188" s="139"/>
      <c r="T188" s="139"/>
      <c r="U188" s="139"/>
    </row>
    <row r="189" spans="1:77" s="140" customFormat="1" ht="35.1" customHeight="1">
      <c r="A189" s="63"/>
      <c r="B189" s="163"/>
      <c r="C189" s="89"/>
      <c r="D189" s="65"/>
      <c r="E189" s="65"/>
      <c r="F189" s="65"/>
      <c r="G189" s="65"/>
      <c r="H189" s="65"/>
      <c r="I189" s="65"/>
      <c r="J189" s="44"/>
      <c r="K189" s="44">
        <v>0</v>
      </c>
      <c r="L189" s="44">
        <v>0</v>
      </c>
      <c r="M189" s="17"/>
      <c r="N189" s="138"/>
      <c r="O189" s="138" t="str">
        <f t="shared" si="12"/>
        <v/>
      </c>
      <c r="P189" s="139" t="str">
        <f t="shared" si="15"/>
        <v>-</v>
      </c>
      <c r="Q189" s="139"/>
      <c r="R189" s="139"/>
      <c r="S189" s="139"/>
      <c r="T189" s="139"/>
      <c r="U189" s="139"/>
    </row>
    <row r="190" spans="1:77" s="140" customFormat="1" ht="35.1" customHeight="1">
      <c r="A190" s="63"/>
      <c r="B190" s="163"/>
      <c r="C190" s="89"/>
      <c r="D190" s="65"/>
      <c r="E190" s="65"/>
      <c r="F190" s="65"/>
      <c r="G190" s="65"/>
      <c r="H190" s="65"/>
      <c r="I190" s="65"/>
      <c r="J190" s="44"/>
      <c r="K190" s="44">
        <v>0</v>
      </c>
      <c r="L190" s="44">
        <v>0</v>
      </c>
      <c r="M190" s="17"/>
      <c r="N190" s="138"/>
      <c r="O190" s="138" t="str">
        <f t="shared" si="12"/>
        <v/>
      </c>
      <c r="P190" s="139" t="str">
        <f t="shared" si="15"/>
        <v>-</v>
      </c>
      <c r="Q190" s="139"/>
      <c r="R190" s="139"/>
      <c r="S190" s="139"/>
      <c r="T190" s="139"/>
      <c r="U190" s="139"/>
    </row>
    <row r="191" spans="1:77" s="140" customFormat="1" ht="35.1" customHeight="1">
      <c r="A191" s="63"/>
      <c r="B191" s="163"/>
      <c r="C191" s="89"/>
      <c r="D191" s="65"/>
      <c r="E191" s="65"/>
      <c r="F191" s="65"/>
      <c r="G191" s="65"/>
      <c r="H191" s="65"/>
      <c r="I191" s="65"/>
      <c r="J191" s="44"/>
      <c r="K191" s="44">
        <v>0</v>
      </c>
      <c r="L191" s="44">
        <v>0</v>
      </c>
      <c r="M191" s="17"/>
      <c r="N191" s="138"/>
      <c r="O191" s="138" t="str">
        <f t="shared" si="12"/>
        <v/>
      </c>
      <c r="P191" s="139" t="str">
        <f t="shared" si="15"/>
        <v>-</v>
      </c>
      <c r="Q191" s="139"/>
      <c r="R191" s="139"/>
      <c r="S191" s="139"/>
      <c r="T191" s="139"/>
      <c r="U191" s="139"/>
    </row>
    <row r="192" spans="1:77" s="140" customFormat="1" ht="35.1" customHeight="1">
      <c r="A192" s="63"/>
      <c r="B192" s="163"/>
      <c r="C192" s="89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138"/>
      <c r="O192" s="138" t="str">
        <f t="shared" si="12"/>
        <v/>
      </c>
      <c r="P192" s="139" t="str">
        <f t="shared" si="15"/>
        <v>-</v>
      </c>
      <c r="Q192" s="139"/>
      <c r="R192" s="139"/>
      <c r="S192" s="139"/>
      <c r="T192" s="139"/>
      <c r="U192" s="139"/>
    </row>
    <row r="193" spans="1:77" s="140" customFormat="1" ht="35.1" customHeight="1">
      <c r="A193" s="63"/>
      <c r="B193" s="163"/>
      <c r="C193" s="89"/>
      <c r="D193" s="65"/>
      <c r="E193" s="65"/>
      <c r="F193" s="65"/>
      <c r="G193" s="65"/>
      <c r="H193" s="65"/>
      <c r="I193" s="65"/>
      <c r="J193" s="44"/>
      <c r="K193" s="44">
        <v>0</v>
      </c>
      <c r="L193" s="44">
        <v>0</v>
      </c>
      <c r="M193" s="17"/>
      <c r="N193" s="138"/>
      <c r="O193" s="138" t="str">
        <f t="shared" si="12"/>
        <v/>
      </c>
      <c r="P193" s="139" t="str">
        <f t="shared" si="15"/>
        <v>-</v>
      </c>
      <c r="Q193" s="139"/>
      <c r="R193" s="139"/>
      <c r="S193" s="139"/>
      <c r="T193" s="139"/>
      <c r="U193" s="139"/>
    </row>
    <row r="194" spans="1:77" s="140" customFormat="1" ht="35.1" customHeight="1">
      <c r="A194" s="63"/>
      <c r="B194" s="163"/>
      <c r="C194" s="89"/>
      <c r="D194" s="65"/>
      <c r="E194" s="65"/>
      <c r="F194" s="65"/>
      <c r="G194" s="65"/>
      <c r="H194" s="65"/>
      <c r="I194" s="65"/>
      <c r="J194" s="44"/>
      <c r="K194" s="44">
        <v>0</v>
      </c>
      <c r="L194" s="44">
        <v>0</v>
      </c>
      <c r="M194" s="17"/>
      <c r="N194" s="138"/>
      <c r="O194" s="138" t="str">
        <f t="shared" si="12"/>
        <v/>
      </c>
      <c r="P194" s="139" t="str">
        <f t="shared" si="15"/>
        <v>-</v>
      </c>
      <c r="Q194" s="139"/>
      <c r="R194" s="139"/>
      <c r="S194" s="139"/>
      <c r="T194" s="139"/>
      <c r="U194" s="139"/>
    </row>
    <row r="195" spans="1:77" s="140" customFormat="1" ht="35.1" customHeight="1">
      <c r="A195" s="63"/>
      <c r="B195" s="163"/>
      <c r="C195" s="89"/>
      <c r="D195" s="65"/>
      <c r="E195" s="65"/>
      <c r="F195" s="65"/>
      <c r="G195" s="65"/>
      <c r="H195" s="65"/>
      <c r="I195" s="65"/>
      <c r="J195" s="44"/>
      <c r="K195" s="44">
        <v>0</v>
      </c>
      <c r="L195" s="44">
        <v>0</v>
      </c>
      <c r="M195" s="17"/>
      <c r="N195" s="138"/>
      <c r="O195" s="138" t="str">
        <f t="shared" si="12"/>
        <v/>
      </c>
      <c r="P195" s="139" t="str">
        <f t="shared" si="15"/>
        <v>-</v>
      </c>
      <c r="Q195" s="139"/>
      <c r="R195" s="139"/>
      <c r="S195" s="139"/>
      <c r="T195" s="139"/>
      <c r="U195" s="139"/>
    </row>
    <row r="196" spans="1:77" s="140" customFormat="1" ht="35.1" customHeight="1">
      <c r="A196" s="63"/>
      <c r="B196" s="163"/>
      <c r="C196" s="64"/>
      <c r="D196" s="65"/>
      <c r="E196" s="65"/>
      <c r="F196" s="65"/>
      <c r="G196" s="65"/>
      <c r="H196" s="65"/>
      <c r="I196" s="65"/>
      <c r="J196" s="44"/>
      <c r="K196" s="44"/>
      <c r="L196" s="44"/>
      <c r="M196" s="17"/>
      <c r="N196" s="138"/>
      <c r="O196" s="138" t="str">
        <f t="shared" si="12"/>
        <v/>
      </c>
      <c r="P196" s="139" t="str">
        <f t="shared" si="15"/>
        <v>-</v>
      </c>
      <c r="Q196" s="139"/>
      <c r="R196" s="139"/>
      <c r="S196" s="139"/>
      <c r="T196" s="139"/>
      <c r="U196" s="139"/>
    </row>
    <row r="197" spans="1:77" s="140" customFormat="1" ht="35.1" customHeight="1">
      <c r="A197" s="63"/>
      <c r="B197" s="163"/>
      <c r="C197" s="64"/>
      <c r="D197" s="65"/>
      <c r="E197" s="65"/>
      <c r="F197" s="65"/>
      <c r="G197" s="65"/>
      <c r="H197" s="65"/>
      <c r="I197" s="65"/>
      <c r="J197" s="44"/>
      <c r="K197" s="44"/>
      <c r="L197" s="44"/>
      <c r="M197" s="17"/>
      <c r="N197" s="138"/>
      <c r="O197" s="138" t="str">
        <f t="shared" si="12"/>
        <v/>
      </c>
      <c r="P197" s="139" t="str">
        <f t="shared" si="15"/>
        <v>-</v>
      </c>
      <c r="Q197" s="139"/>
      <c r="R197" s="139"/>
      <c r="S197" s="139"/>
      <c r="T197" s="139"/>
      <c r="U197" s="139"/>
    </row>
    <row r="198" spans="1:77" s="140" customFormat="1" ht="35.1" customHeight="1">
      <c r="A198" s="63"/>
      <c r="B198" s="163"/>
      <c r="C198" s="64"/>
      <c r="D198" s="65"/>
      <c r="E198" s="65"/>
      <c r="F198" s="65"/>
      <c r="G198" s="65"/>
      <c r="H198" s="65"/>
      <c r="I198" s="65"/>
      <c r="J198" s="44"/>
      <c r="K198" s="44"/>
      <c r="L198" s="44"/>
      <c r="M198" s="17"/>
      <c r="N198" s="138"/>
      <c r="O198" s="138" t="str">
        <f t="shared" si="12"/>
        <v/>
      </c>
      <c r="P198" s="139" t="str">
        <f t="shared" si="15"/>
        <v>-</v>
      </c>
      <c r="Q198" s="139"/>
      <c r="R198" s="139"/>
      <c r="S198" s="139"/>
      <c r="T198" s="139"/>
      <c r="U198" s="139"/>
    </row>
    <row r="199" spans="1:77" s="140" customFormat="1" ht="35.1" customHeight="1">
      <c r="A199" s="63"/>
      <c r="B199" s="163"/>
      <c r="C199" s="64"/>
      <c r="D199" s="65"/>
      <c r="E199" s="65"/>
      <c r="F199" s="65"/>
      <c r="G199" s="65"/>
      <c r="H199" s="65"/>
      <c r="I199" s="65"/>
      <c r="J199" s="44"/>
      <c r="K199" s="44"/>
      <c r="L199" s="44"/>
      <c r="M199" s="17"/>
      <c r="N199" s="138"/>
      <c r="O199" s="138" t="str">
        <f t="shared" si="12"/>
        <v/>
      </c>
      <c r="P199" s="139" t="str">
        <f t="shared" si="15"/>
        <v>-</v>
      </c>
      <c r="Q199" s="139"/>
      <c r="R199" s="139"/>
      <c r="S199" s="139"/>
      <c r="T199" s="139"/>
      <c r="U199" s="139"/>
    </row>
    <row r="200" spans="1:77" s="140" customFormat="1" ht="35.1" customHeight="1">
      <c r="A200" s="63"/>
      <c r="B200" s="163"/>
      <c r="C200" s="64"/>
      <c r="D200" s="65"/>
      <c r="E200" s="65"/>
      <c r="F200" s="65"/>
      <c r="G200" s="65"/>
      <c r="H200" s="65"/>
      <c r="I200" s="65"/>
      <c r="J200" s="44"/>
      <c r="K200" s="44"/>
      <c r="L200" s="44"/>
      <c r="M200" s="17"/>
      <c r="N200" s="138"/>
      <c r="O200" s="138" t="str">
        <f t="shared" si="12"/>
        <v/>
      </c>
      <c r="P200" s="139" t="str">
        <f t="shared" si="15"/>
        <v>-</v>
      </c>
      <c r="Q200" s="139"/>
      <c r="R200" s="139"/>
      <c r="S200" s="139"/>
      <c r="T200" s="139"/>
      <c r="U200" s="139"/>
    </row>
    <row r="201" spans="1:77" s="140" customFormat="1" ht="35.1" customHeight="1">
      <c r="A201" s="63"/>
      <c r="B201" s="163"/>
      <c r="C201" s="64"/>
      <c r="D201" s="65"/>
      <c r="E201" s="65"/>
      <c r="F201" s="65"/>
      <c r="G201" s="65"/>
      <c r="H201" s="65"/>
      <c r="I201" s="65"/>
      <c r="J201" s="44"/>
      <c r="K201" s="44"/>
      <c r="L201" s="44"/>
      <c r="M201" s="17"/>
      <c r="N201" s="138"/>
      <c r="O201" s="138" t="str">
        <f t="shared" ref="O201:O264" si="16">CONCATENATE(D201,H201)</f>
        <v/>
      </c>
      <c r="P201" s="139" t="str">
        <f t="shared" si="15"/>
        <v>-</v>
      </c>
      <c r="Q201" s="139"/>
      <c r="R201" s="139"/>
      <c r="S201" s="139"/>
      <c r="T201" s="139"/>
      <c r="U201" s="139"/>
    </row>
    <row r="202" spans="1:77" s="140" customFormat="1" ht="35.1" customHeight="1">
      <c r="A202" s="63"/>
      <c r="B202" s="163"/>
      <c r="C202" s="64"/>
      <c r="D202" s="65"/>
      <c r="E202" s="65"/>
      <c r="F202" s="65"/>
      <c r="G202" s="65"/>
      <c r="H202" s="65"/>
      <c r="I202" s="65"/>
      <c r="J202" s="44"/>
      <c r="K202" s="44"/>
      <c r="L202" s="44"/>
      <c r="M202" s="17"/>
      <c r="N202" s="138"/>
      <c r="O202" s="138" t="str">
        <f t="shared" si="16"/>
        <v/>
      </c>
      <c r="P202" s="139" t="str">
        <f t="shared" si="15"/>
        <v>-</v>
      </c>
      <c r="Q202" s="139"/>
      <c r="R202" s="139"/>
      <c r="S202" s="139"/>
      <c r="T202" s="139"/>
      <c r="U202" s="139"/>
    </row>
    <row r="203" spans="1:77" s="140" customFormat="1" ht="35.1" customHeight="1">
      <c r="A203" s="63"/>
      <c r="B203" s="163"/>
      <c r="C203" s="64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138"/>
      <c r="O203" s="138" t="str">
        <f t="shared" si="16"/>
        <v/>
      </c>
      <c r="P203" s="139" t="str">
        <f t="shared" si="15"/>
        <v>-</v>
      </c>
      <c r="Q203" s="139"/>
      <c r="R203" s="139"/>
      <c r="S203" s="139"/>
      <c r="T203" s="139"/>
      <c r="U203" s="139"/>
    </row>
    <row r="204" spans="1:77" s="140" customFormat="1" ht="35.1" customHeight="1">
      <c r="A204" s="63"/>
      <c r="B204" s="163"/>
      <c r="C204" s="64"/>
      <c r="D204" s="65"/>
      <c r="E204" s="65"/>
      <c r="F204" s="65"/>
      <c r="G204" s="65"/>
      <c r="H204" s="65"/>
      <c r="I204" s="65"/>
      <c r="J204" s="44"/>
      <c r="K204" s="44"/>
      <c r="L204" s="44"/>
      <c r="M204" s="17"/>
      <c r="N204" s="138"/>
      <c r="O204" s="138" t="str">
        <f t="shared" si="16"/>
        <v/>
      </c>
      <c r="P204" s="139" t="str">
        <f t="shared" si="15"/>
        <v>-</v>
      </c>
      <c r="Q204" s="139"/>
      <c r="R204" s="139"/>
      <c r="S204" s="139"/>
      <c r="T204" s="139"/>
      <c r="U204" s="139"/>
    </row>
    <row r="205" spans="1:77" s="211" customFormat="1" ht="35.1" customHeight="1">
      <c r="A205" s="212" t="s">
        <v>41</v>
      </c>
      <c r="B205" s="213"/>
      <c r="C205" s="213"/>
      <c r="D205" s="214"/>
      <c r="E205" s="215"/>
      <c r="F205" s="215"/>
      <c r="G205" s="215">
        <f>SUM(G185:G204)</f>
        <v>0</v>
      </c>
      <c r="H205" s="214"/>
      <c r="I205" s="214"/>
      <c r="J205" s="214"/>
      <c r="K205" s="214"/>
      <c r="L205" s="214"/>
      <c r="M205" s="216"/>
      <c r="N205" s="138"/>
      <c r="O205" s="138" t="str">
        <f t="shared" si="16"/>
        <v/>
      </c>
      <c r="P205" s="139"/>
      <c r="Q205" s="139"/>
      <c r="R205" s="139"/>
      <c r="S205" s="139"/>
      <c r="T205" s="139"/>
      <c r="U205" s="139"/>
      <c r="V205" s="210"/>
      <c r="W205" s="210"/>
      <c r="X205" s="210"/>
      <c r="Y205" s="210"/>
      <c r="Z205" s="210"/>
      <c r="AA205" s="210"/>
      <c r="AB205" s="210"/>
      <c r="AC205" s="210"/>
      <c r="AD205" s="210"/>
      <c r="AE205" s="210"/>
      <c r="AF205" s="210"/>
      <c r="AG205" s="210"/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  <c r="BI205" s="210"/>
      <c r="BJ205" s="210"/>
      <c r="BK205" s="210"/>
      <c r="BL205" s="210"/>
      <c r="BM205" s="210"/>
      <c r="BN205" s="210"/>
      <c r="BO205" s="210"/>
      <c r="BP205" s="210"/>
      <c r="BQ205" s="210"/>
      <c r="BR205" s="210"/>
      <c r="BS205" s="210"/>
      <c r="BT205" s="210"/>
      <c r="BU205" s="210"/>
      <c r="BV205" s="210"/>
      <c r="BW205" s="210"/>
      <c r="BX205" s="210"/>
      <c r="BY205" s="210"/>
    </row>
    <row r="206" spans="1:77" s="140" customFormat="1" ht="35.1" customHeight="1">
      <c r="A206" s="58"/>
      <c r="B206" s="161"/>
      <c r="C206" s="82"/>
      <c r="D206" s="59"/>
      <c r="E206" s="59"/>
      <c r="F206" s="59"/>
      <c r="G206" s="59"/>
      <c r="H206" s="59"/>
      <c r="I206" s="59"/>
      <c r="J206" s="43"/>
      <c r="K206" s="43"/>
      <c r="L206" s="43"/>
      <c r="M206" s="16"/>
      <c r="N206" s="138"/>
      <c r="O206" s="138" t="str">
        <f t="shared" si="16"/>
        <v/>
      </c>
      <c r="P206" s="139" t="str">
        <f t="shared" ref="P206:P225" si="17">IF(E206&gt;=G206,"-","err")</f>
        <v>-</v>
      </c>
      <c r="Q206" s="139"/>
      <c r="R206" s="139"/>
      <c r="S206" s="139"/>
      <c r="T206" s="139"/>
      <c r="U206" s="139"/>
    </row>
    <row r="207" spans="1:77" s="140" customFormat="1" ht="35.1" customHeight="1">
      <c r="A207" s="92"/>
      <c r="B207" s="162"/>
      <c r="C207" s="96"/>
      <c r="D207" s="93"/>
      <c r="E207" s="93"/>
      <c r="F207" s="93"/>
      <c r="G207" s="93"/>
      <c r="H207" s="93"/>
      <c r="I207" s="93"/>
      <c r="J207" s="94"/>
      <c r="K207" s="94"/>
      <c r="L207" s="94"/>
      <c r="M207" s="95"/>
      <c r="N207" s="138"/>
      <c r="O207" s="138" t="str">
        <f t="shared" si="16"/>
        <v/>
      </c>
      <c r="P207" s="139" t="str">
        <f t="shared" si="17"/>
        <v>-</v>
      </c>
      <c r="Q207" s="139"/>
      <c r="R207" s="139"/>
      <c r="S207" s="139"/>
      <c r="T207" s="139"/>
      <c r="U207" s="139"/>
    </row>
    <row r="208" spans="1:77" s="140" customFormat="1" ht="35.1" customHeight="1">
      <c r="A208" s="63"/>
      <c r="B208" s="163"/>
      <c r="C208" s="83"/>
      <c r="D208" s="65"/>
      <c r="E208" s="65"/>
      <c r="F208" s="65"/>
      <c r="G208" s="65"/>
      <c r="H208" s="65"/>
      <c r="I208" s="65"/>
      <c r="J208" s="44">
        <v>0</v>
      </c>
      <c r="K208" s="44">
        <v>0</v>
      </c>
      <c r="L208" s="44">
        <v>0</v>
      </c>
      <c r="M208" s="17"/>
      <c r="N208" s="138"/>
      <c r="O208" s="138" t="str">
        <f t="shared" si="16"/>
        <v/>
      </c>
      <c r="P208" s="139" t="str">
        <f t="shared" si="17"/>
        <v>-</v>
      </c>
      <c r="Q208" s="139"/>
      <c r="R208" s="139"/>
      <c r="S208" s="139"/>
      <c r="T208" s="139"/>
      <c r="U208" s="139"/>
    </row>
    <row r="209" spans="1:21" s="140" customFormat="1" ht="35.1" customHeight="1">
      <c r="A209" s="63"/>
      <c r="B209" s="163"/>
      <c r="C209" s="84"/>
      <c r="D209" s="65"/>
      <c r="E209" s="65"/>
      <c r="F209" s="65"/>
      <c r="G209" s="65"/>
      <c r="H209" s="65"/>
      <c r="I209" s="65"/>
      <c r="J209" s="44">
        <v>0</v>
      </c>
      <c r="K209" s="44">
        <v>0</v>
      </c>
      <c r="L209" s="44">
        <v>0</v>
      </c>
      <c r="M209" s="17"/>
      <c r="N209" s="138"/>
      <c r="O209" s="138" t="str">
        <f t="shared" si="16"/>
        <v/>
      </c>
      <c r="P209" s="139" t="str">
        <f t="shared" si="17"/>
        <v>-</v>
      </c>
      <c r="Q209" s="139"/>
      <c r="R209" s="139"/>
      <c r="S209" s="139"/>
      <c r="T209" s="139"/>
      <c r="U209" s="139"/>
    </row>
    <row r="210" spans="1:21" s="140" customFormat="1" ht="35.1" customHeight="1">
      <c r="A210" s="63"/>
      <c r="B210" s="163"/>
      <c r="C210" s="89"/>
      <c r="D210" s="65"/>
      <c r="E210" s="65"/>
      <c r="F210" s="65"/>
      <c r="G210" s="65"/>
      <c r="H210" s="65"/>
      <c r="I210" s="65"/>
      <c r="J210" s="44">
        <v>0</v>
      </c>
      <c r="K210" s="44">
        <v>0</v>
      </c>
      <c r="L210" s="44">
        <v>0</v>
      </c>
      <c r="M210" s="17"/>
      <c r="N210" s="138"/>
      <c r="O210" s="138" t="str">
        <f t="shared" si="16"/>
        <v/>
      </c>
      <c r="P210" s="139" t="str">
        <f t="shared" si="17"/>
        <v>-</v>
      </c>
      <c r="Q210" s="139"/>
      <c r="R210" s="139"/>
      <c r="S210" s="139"/>
      <c r="T210" s="139"/>
      <c r="U210" s="139"/>
    </row>
    <row r="211" spans="1:21" s="140" customFormat="1" ht="35.1" customHeight="1">
      <c r="A211" s="63"/>
      <c r="B211" s="163"/>
      <c r="C211" s="89"/>
      <c r="D211" s="65"/>
      <c r="E211" s="65"/>
      <c r="F211" s="65"/>
      <c r="G211" s="65"/>
      <c r="H211" s="65"/>
      <c r="I211" s="65"/>
      <c r="J211" s="44">
        <v>0</v>
      </c>
      <c r="K211" s="44">
        <v>0</v>
      </c>
      <c r="L211" s="44">
        <v>0</v>
      </c>
      <c r="M211" s="17"/>
      <c r="N211" s="138"/>
      <c r="O211" s="138" t="str">
        <f t="shared" si="16"/>
        <v/>
      </c>
      <c r="P211" s="139" t="str">
        <f t="shared" si="17"/>
        <v>-</v>
      </c>
      <c r="Q211" s="139"/>
      <c r="R211" s="139"/>
      <c r="S211" s="139"/>
      <c r="T211" s="139"/>
      <c r="U211" s="139"/>
    </row>
    <row r="212" spans="1:21" s="140" customFormat="1" ht="35.1" customHeight="1">
      <c r="A212" s="63"/>
      <c r="B212" s="163"/>
      <c r="C212" s="89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138"/>
      <c r="O212" s="138" t="str">
        <f t="shared" si="16"/>
        <v/>
      </c>
      <c r="P212" s="139" t="str">
        <f t="shared" si="17"/>
        <v>-</v>
      </c>
      <c r="Q212" s="139"/>
      <c r="R212" s="139"/>
      <c r="S212" s="139"/>
      <c r="T212" s="139"/>
      <c r="U212" s="139"/>
    </row>
    <row r="213" spans="1:21" s="140" customFormat="1" ht="35.1" customHeight="1">
      <c r="A213" s="63"/>
      <c r="B213" s="163"/>
      <c r="C213" s="89"/>
      <c r="D213" s="65"/>
      <c r="E213" s="65"/>
      <c r="F213" s="65"/>
      <c r="G213" s="65"/>
      <c r="H213" s="65"/>
      <c r="I213" s="65"/>
      <c r="J213" s="44"/>
      <c r="K213" s="44"/>
      <c r="L213" s="44"/>
      <c r="M213" s="17"/>
      <c r="N213" s="138"/>
      <c r="O213" s="138" t="str">
        <f t="shared" si="16"/>
        <v/>
      </c>
      <c r="P213" s="139" t="str">
        <f t="shared" si="17"/>
        <v>-</v>
      </c>
      <c r="Q213" s="139"/>
      <c r="R213" s="139"/>
      <c r="S213" s="139"/>
      <c r="T213" s="139"/>
      <c r="U213" s="139"/>
    </row>
    <row r="214" spans="1:21" s="140" customFormat="1" ht="35.1" customHeight="1">
      <c r="A214" s="63"/>
      <c r="B214" s="163"/>
      <c r="C214" s="89"/>
      <c r="D214" s="65"/>
      <c r="E214" s="65"/>
      <c r="F214" s="65"/>
      <c r="G214" s="65"/>
      <c r="H214" s="65"/>
      <c r="I214" s="65"/>
      <c r="J214" s="44"/>
      <c r="K214" s="44"/>
      <c r="L214" s="44"/>
      <c r="M214" s="17"/>
      <c r="N214" s="138"/>
      <c r="O214" s="138" t="str">
        <f t="shared" si="16"/>
        <v/>
      </c>
      <c r="P214" s="139" t="str">
        <f t="shared" si="17"/>
        <v>-</v>
      </c>
      <c r="Q214" s="139"/>
      <c r="R214" s="139"/>
      <c r="S214" s="139"/>
      <c r="T214" s="139"/>
      <c r="U214" s="139"/>
    </row>
    <row r="215" spans="1:21" s="140" customFormat="1" ht="35.1" customHeight="1">
      <c r="A215" s="63"/>
      <c r="B215" s="163"/>
      <c r="C215" s="89"/>
      <c r="D215" s="65"/>
      <c r="E215" s="65"/>
      <c r="F215" s="65"/>
      <c r="G215" s="65"/>
      <c r="H215" s="65"/>
      <c r="I215" s="65"/>
      <c r="J215" s="44">
        <v>0</v>
      </c>
      <c r="K215" s="44">
        <v>0</v>
      </c>
      <c r="L215" s="44">
        <v>0</v>
      </c>
      <c r="M215" s="17"/>
      <c r="N215" s="138"/>
      <c r="O215" s="138" t="str">
        <f t="shared" si="16"/>
        <v/>
      </c>
      <c r="P215" s="139" t="str">
        <f t="shared" si="17"/>
        <v>-</v>
      </c>
      <c r="Q215" s="139"/>
      <c r="R215" s="139"/>
      <c r="S215" s="139"/>
      <c r="T215" s="139"/>
      <c r="U215" s="139"/>
    </row>
    <row r="216" spans="1:21" s="140" customFormat="1" ht="35.1" customHeight="1">
      <c r="A216" s="63"/>
      <c r="B216" s="163"/>
      <c r="C216" s="89"/>
      <c r="D216" s="65"/>
      <c r="E216" s="65"/>
      <c r="F216" s="65"/>
      <c r="G216" s="65"/>
      <c r="H216" s="65"/>
      <c r="I216" s="65"/>
      <c r="J216" s="44">
        <v>0</v>
      </c>
      <c r="K216" s="44">
        <v>0</v>
      </c>
      <c r="L216" s="44">
        <v>0</v>
      </c>
      <c r="M216" s="17"/>
      <c r="N216" s="138"/>
      <c r="O216" s="138" t="str">
        <f t="shared" si="16"/>
        <v/>
      </c>
      <c r="P216" s="139" t="str">
        <f t="shared" si="17"/>
        <v>-</v>
      </c>
      <c r="Q216" s="139"/>
      <c r="R216" s="139"/>
      <c r="S216" s="139"/>
      <c r="T216" s="139"/>
      <c r="U216" s="139"/>
    </row>
    <row r="217" spans="1:21" s="140" customFormat="1" ht="35.1" customHeight="1">
      <c r="A217" s="63"/>
      <c r="B217" s="163"/>
      <c r="C217" s="64"/>
      <c r="D217" s="65"/>
      <c r="E217" s="65"/>
      <c r="F217" s="65"/>
      <c r="G217" s="65"/>
      <c r="H217" s="65"/>
      <c r="I217" s="65"/>
      <c r="J217" s="44"/>
      <c r="K217" s="44"/>
      <c r="L217" s="44"/>
      <c r="M217" s="17"/>
      <c r="N217" s="138"/>
      <c r="O217" s="138" t="str">
        <f t="shared" si="16"/>
        <v/>
      </c>
      <c r="P217" s="139" t="str">
        <f t="shared" si="17"/>
        <v>-</v>
      </c>
      <c r="Q217" s="139"/>
      <c r="R217" s="139"/>
      <c r="S217" s="139"/>
      <c r="T217" s="139"/>
      <c r="U217" s="139"/>
    </row>
    <row r="218" spans="1:21" s="140" customFormat="1" ht="35.1" customHeight="1">
      <c r="A218" s="63"/>
      <c r="B218" s="163"/>
      <c r="C218" s="64"/>
      <c r="D218" s="65"/>
      <c r="E218" s="65"/>
      <c r="F218" s="65"/>
      <c r="G218" s="65"/>
      <c r="H218" s="65"/>
      <c r="I218" s="65"/>
      <c r="J218" s="44"/>
      <c r="K218" s="44"/>
      <c r="L218" s="44"/>
      <c r="M218" s="17"/>
      <c r="N218" s="138"/>
      <c r="O218" s="138" t="str">
        <f t="shared" si="16"/>
        <v/>
      </c>
      <c r="P218" s="139" t="str">
        <f t="shared" si="17"/>
        <v>-</v>
      </c>
      <c r="Q218" s="139"/>
      <c r="R218" s="139"/>
      <c r="S218" s="139"/>
      <c r="T218" s="139"/>
      <c r="U218" s="139"/>
    </row>
    <row r="219" spans="1:21" s="140" customFormat="1" ht="35.1" customHeight="1">
      <c r="A219" s="63"/>
      <c r="B219" s="163"/>
      <c r="C219" s="64"/>
      <c r="D219" s="65"/>
      <c r="E219" s="65"/>
      <c r="F219" s="65"/>
      <c r="G219" s="65"/>
      <c r="H219" s="65"/>
      <c r="I219" s="65"/>
      <c r="J219" s="44"/>
      <c r="K219" s="44"/>
      <c r="L219" s="44"/>
      <c r="M219" s="17"/>
      <c r="N219" s="138"/>
      <c r="O219" s="138" t="str">
        <f t="shared" si="16"/>
        <v/>
      </c>
      <c r="P219" s="139" t="str">
        <f t="shared" si="17"/>
        <v>-</v>
      </c>
      <c r="Q219" s="139"/>
      <c r="R219" s="139"/>
      <c r="S219" s="139"/>
      <c r="T219" s="139"/>
      <c r="U219" s="139"/>
    </row>
    <row r="220" spans="1:21" s="140" customFormat="1" ht="35.1" customHeight="1">
      <c r="A220" s="63"/>
      <c r="B220" s="163"/>
      <c r="C220" s="64"/>
      <c r="D220" s="65"/>
      <c r="E220" s="65"/>
      <c r="F220" s="65"/>
      <c r="G220" s="65"/>
      <c r="H220" s="65"/>
      <c r="I220" s="65"/>
      <c r="J220" s="44"/>
      <c r="K220" s="44"/>
      <c r="L220" s="44"/>
      <c r="M220" s="17"/>
      <c r="N220" s="138"/>
      <c r="O220" s="138" t="str">
        <f t="shared" si="16"/>
        <v/>
      </c>
      <c r="P220" s="139" t="str">
        <f t="shared" si="17"/>
        <v>-</v>
      </c>
      <c r="Q220" s="139"/>
      <c r="R220" s="139"/>
      <c r="S220" s="139"/>
      <c r="T220" s="139"/>
      <c r="U220" s="139"/>
    </row>
    <row r="221" spans="1:21" s="140" customFormat="1" ht="35.1" customHeight="1">
      <c r="A221" s="63"/>
      <c r="B221" s="163"/>
      <c r="C221" s="64"/>
      <c r="D221" s="65"/>
      <c r="E221" s="65"/>
      <c r="F221" s="65"/>
      <c r="G221" s="65"/>
      <c r="H221" s="65"/>
      <c r="I221" s="65"/>
      <c r="J221" s="44"/>
      <c r="K221" s="44"/>
      <c r="L221" s="44"/>
      <c r="M221" s="17"/>
      <c r="N221" s="138"/>
      <c r="O221" s="138" t="str">
        <f t="shared" si="16"/>
        <v/>
      </c>
      <c r="P221" s="139" t="str">
        <f t="shared" si="17"/>
        <v>-</v>
      </c>
      <c r="Q221" s="139"/>
      <c r="R221" s="139"/>
      <c r="S221" s="139"/>
      <c r="T221" s="139"/>
      <c r="U221" s="139"/>
    </row>
    <row r="222" spans="1:21" s="140" customFormat="1" ht="35.1" customHeight="1">
      <c r="A222" s="63"/>
      <c r="B222" s="163"/>
      <c r="C222" s="64"/>
      <c r="D222" s="65"/>
      <c r="E222" s="65"/>
      <c r="F222" s="65"/>
      <c r="G222" s="65"/>
      <c r="H222" s="65"/>
      <c r="I222" s="65"/>
      <c r="J222" s="44"/>
      <c r="K222" s="44"/>
      <c r="L222" s="44"/>
      <c r="M222" s="17"/>
      <c r="N222" s="138"/>
      <c r="O222" s="138" t="str">
        <f t="shared" si="16"/>
        <v/>
      </c>
      <c r="P222" s="139" t="str">
        <f t="shared" si="17"/>
        <v>-</v>
      </c>
      <c r="Q222" s="139"/>
      <c r="R222" s="139"/>
      <c r="S222" s="139"/>
      <c r="T222" s="139"/>
      <c r="U222" s="139"/>
    </row>
    <row r="223" spans="1:21" s="140" customFormat="1" ht="35.1" customHeight="1">
      <c r="A223" s="63"/>
      <c r="B223" s="163"/>
      <c r="C223" s="64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138"/>
      <c r="O223" s="138" t="str">
        <f t="shared" si="16"/>
        <v/>
      </c>
      <c r="P223" s="139" t="str">
        <f t="shared" si="17"/>
        <v>-</v>
      </c>
      <c r="Q223" s="139"/>
      <c r="R223" s="139"/>
      <c r="S223" s="139"/>
      <c r="T223" s="139"/>
      <c r="U223" s="139"/>
    </row>
    <row r="224" spans="1:21" s="140" customFormat="1" ht="35.1" customHeight="1">
      <c r="A224" s="63"/>
      <c r="B224" s="163"/>
      <c r="C224" s="64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138"/>
      <c r="O224" s="138" t="str">
        <f t="shared" si="16"/>
        <v/>
      </c>
      <c r="P224" s="139" t="str">
        <f t="shared" si="17"/>
        <v>-</v>
      </c>
      <c r="Q224" s="139"/>
      <c r="R224" s="139"/>
      <c r="S224" s="139"/>
      <c r="T224" s="139"/>
      <c r="U224" s="139"/>
    </row>
    <row r="225" spans="1:77" s="140" customFormat="1" ht="35.1" customHeight="1">
      <c r="A225" s="63"/>
      <c r="B225" s="163"/>
      <c r="C225" s="64"/>
      <c r="D225" s="65"/>
      <c r="E225" s="65"/>
      <c r="F225" s="65"/>
      <c r="G225" s="65"/>
      <c r="H225" s="65"/>
      <c r="I225" s="65"/>
      <c r="J225" s="44"/>
      <c r="K225" s="44"/>
      <c r="L225" s="44"/>
      <c r="M225" s="17"/>
      <c r="N225" s="138"/>
      <c r="O225" s="138" t="str">
        <f t="shared" si="16"/>
        <v/>
      </c>
      <c r="P225" s="139" t="str">
        <f t="shared" si="17"/>
        <v>-</v>
      </c>
      <c r="Q225" s="139"/>
      <c r="R225" s="139"/>
      <c r="S225" s="139"/>
      <c r="T225" s="139"/>
      <c r="U225" s="139"/>
    </row>
    <row r="226" spans="1:77" s="211" customFormat="1" ht="35.1" customHeight="1">
      <c r="A226" s="212" t="s">
        <v>41</v>
      </c>
      <c r="B226" s="213"/>
      <c r="C226" s="213"/>
      <c r="D226" s="214"/>
      <c r="E226" s="215"/>
      <c r="F226" s="215"/>
      <c r="G226" s="215">
        <f>SUM(G206:G225)</f>
        <v>0</v>
      </c>
      <c r="H226" s="214"/>
      <c r="I226" s="214"/>
      <c r="J226" s="214"/>
      <c r="K226" s="214"/>
      <c r="L226" s="214"/>
      <c r="M226" s="216"/>
      <c r="N226" s="138"/>
      <c r="O226" s="138" t="str">
        <f t="shared" si="16"/>
        <v/>
      </c>
      <c r="P226" s="139"/>
      <c r="Q226" s="139"/>
      <c r="R226" s="139"/>
      <c r="S226" s="139"/>
      <c r="T226" s="139"/>
      <c r="U226" s="139"/>
      <c r="V226" s="210"/>
      <c r="W226" s="210"/>
      <c r="X226" s="210"/>
      <c r="Y226" s="210"/>
      <c r="Z226" s="210"/>
      <c r="AA226" s="210"/>
      <c r="AB226" s="210"/>
      <c r="AC226" s="210"/>
      <c r="AD226" s="210"/>
      <c r="AE226" s="210"/>
      <c r="AF226" s="210"/>
      <c r="AG226" s="210"/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  <c r="BI226" s="210"/>
      <c r="BJ226" s="210"/>
      <c r="BK226" s="210"/>
      <c r="BL226" s="210"/>
      <c r="BM226" s="210"/>
      <c r="BN226" s="210"/>
      <c r="BO226" s="210"/>
      <c r="BP226" s="210"/>
      <c r="BQ226" s="210"/>
      <c r="BR226" s="210"/>
      <c r="BS226" s="210"/>
      <c r="BT226" s="210"/>
      <c r="BU226" s="210"/>
      <c r="BV226" s="210"/>
      <c r="BW226" s="210"/>
      <c r="BX226" s="210"/>
      <c r="BY226" s="210"/>
    </row>
    <row r="227" spans="1:77" s="140" customFormat="1" ht="35.1" customHeight="1">
      <c r="A227" s="58"/>
      <c r="B227" s="161"/>
      <c r="C227" s="82"/>
      <c r="D227" s="59"/>
      <c r="E227" s="59"/>
      <c r="F227" s="59"/>
      <c r="G227" s="59"/>
      <c r="H227" s="59"/>
      <c r="I227" s="59"/>
      <c r="J227" s="43"/>
      <c r="K227" s="43"/>
      <c r="L227" s="43"/>
      <c r="M227" s="16"/>
      <c r="N227" s="138"/>
      <c r="O227" s="138" t="str">
        <f t="shared" si="16"/>
        <v/>
      </c>
      <c r="P227" s="139" t="str">
        <f t="shared" ref="P227:P246" si="18">IF(E227&gt;=G227,"-","err")</f>
        <v>-</v>
      </c>
      <c r="Q227" s="139"/>
      <c r="R227" s="139"/>
      <c r="S227" s="139"/>
      <c r="T227" s="139"/>
      <c r="U227" s="139"/>
    </row>
    <row r="228" spans="1:77" s="140" customFormat="1" ht="35.1" customHeight="1">
      <c r="A228" s="92"/>
      <c r="B228" s="162"/>
      <c r="C228" s="96"/>
      <c r="D228" s="93"/>
      <c r="E228" s="93"/>
      <c r="F228" s="93"/>
      <c r="G228" s="93"/>
      <c r="H228" s="93"/>
      <c r="I228" s="93"/>
      <c r="J228" s="94"/>
      <c r="K228" s="94"/>
      <c r="L228" s="94"/>
      <c r="M228" s="95"/>
      <c r="N228" s="138"/>
      <c r="O228" s="138" t="str">
        <f t="shared" si="16"/>
        <v/>
      </c>
      <c r="P228" s="139" t="str">
        <f t="shared" si="18"/>
        <v>-</v>
      </c>
      <c r="Q228" s="139"/>
      <c r="R228" s="139"/>
      <c r="S228" s="139"/>
      <c r="T228" s="139"/>
      <c r="U228" s="139"/>
    </row>
    <row r="229" spans="1:77" s="140" customFormat="1" ht="35.1" customHeight="1">
      <c r="A229" s="63"/>
      <c r="B229" s="163"/>
      <c r="C229" s="83"/>
      <c r="D229" s="65"/>
      <c r="E229" s="65"/>
      <c r="F229" s="65"/>
      <c r="G229" s="65"/>
      <c r="H229" s="65"/>
      <c r="I229" s="65"/>
      <c r="J229" s="44"/>
      <c r="K229" s="44">
        <v>0</v>
      </c>
      <c r="L229" s="44">
        <v>0</v>
      </c>
      <c r="M229" s="17"/>
      <c r="N229" s="138"/>
      <c r="O229" s="138" t="str">
        <f t="shared" si="16"/>
        <v/>
      </c>
      <c r="P229" s="139" t="str">
        <f t="shared" si="18"/>
        <v>-</v>
      </c>
      <c r="Q229" s="139"/>
      <c r="R229" s="139"/>
      <c r="S229" s="139"/>
      <c r="T229" s="139"/>
      <c r="U229" s="139"/>
    </row>
    <row r="230" spans="1:77" s="140" customFormat="1" ht="35.1" customHeight="1">
      <c r="A230" s="63"/>
      <c r="B230" s="163"/>
      <c r="C230" s="84"/>
      <c r="D230" s="65"/>
      <c r="E230" s="65"/>
      <c r="F230" s="65"/>
      <c r="G230" s="65"/>
      <c r="H230" s="65"/>
      <c r="I230" s="65"/>
      <c r="J230" s="44"/>
      <c r="K230" s="44">
        <v>0</v>
      </c>
      <c r="L230" s="44">
        <v>0</v>
      </c>
      <c r="M230" s="17"/>
      <c r="N230" s="138"/>
      <c r="O230" s="138" t="str">
        <f t="shared" si="16"/>
        <v/>
      </c>
      <c r="P230" s="139" t="str">
        <f t="shared" si="18"/>
        <v>-</v>
      </c>
      <c r="Q230" s="139"/>
      <c r="R230" s="139"/>
      <c r="S230" s="139"/>
      <c r="T230" s="139"/>
      <c r="U230" s="139"/>
    </row>
    <row r="231" spans="1:77" s="140" customFormat="1" ht="35.1" customHeight="1">
      <c r="A231" s="63"/>
      <c r="B231" s="163"/>
      <c r="C231" s="89"/>
      <c r="D231" s="65"/>
      <c r="E231" s="65"/>
      <c r="F231" s="65"/>
      <c r="G231" s="65"/>
      <c r="H231" s="65"/>
      <c r="I231" s="65"/>
      <c r="J231" s="44"/>
      <c r="K231" s="44">
        <v>0</v>
      </c>
      <c r="L231" s="44">
        <v>0</v>
      </c>
      <c r="M231" s="17"/>
      <c r="N231" s="138"/>
      <c r="O231" s="138" t="str">
        <f t="shared" si="16"/>
        <v/>
      </c>
      <c r="P231" s="139" t="str">
        <f t="shared" si="18"/>
        <v>-</v>
      </c>
      <c r="Q231" s="139"/>
      <c r="R231" s="139"/>
      <c r="S231" s="139"/>
      <c r="T231" s="139"/>
      <c r="U231" s="139"/>
    </row>
    <row r="232" spans="1:77" s="140" customFormat="1" ht="35.1" customHeight="1">
      <c r="A232" s="63"/>
      <c r="B232" s="163"/>
      <c r="C232" s="89"/>
      <c r="D232" s="65"/>
      <c r="E232" s="65"/>
      <c r="F232" s="65"/>
      <c r="G232" s="65"/>
      <c r="H232" s="65"/>
      <c r="I232" s="65"/>
      <c r="J232" s="44"/>
      <c r="K232" s="44">
        <v>0</v>
      </c>
      <c r="L232" s="44">
        <v>0</v>
      </c>
      <c r="M232" s="17"/>
      <c r="N232" s="138"/>
      <c r="O232" s="138" t="str">
        <f t="shared" si="16"/>
        <v/>
      </c>
      <c r="P232" s="139" t="str">
        <f t="shared" si="18"/>
        <v>-</v>
      </c>
      <c r="Q232" s="139"/>
      <c r="R232" s="139"/>
      <c r="S232" s="139"/>
      <c r="T232" s="139"/>
      <c r="U232" s="139"/>
    </row>
    <row r="233" spans="1:77" s="140" customFormat="1" ht="35.1" customHeight="1">
      <c r="A233" s="63"/>
      <c r="B233" s="163"/>
      <c r="C233" s="89"/>
      <c r="D233" s="65"/>
      <c r="E233" s="65"/>
      <c r="F233" s="65"/>
      <c r="G233" s="65"/>
      <c r="H233" s="65"/>
      <c r="I233" s="65"/>
      <c r="J233" s="44"/>
      <c r="K233" s="44">
        <v>0</v>
      </c>
      <c r="L233" s="44">
        <v>0</v>
      </c>
      <c r="M233" s="17"/>
      <c r="N233" s="138"/>
      <c r="O233" s="138" t="str">
        <f t="shared" si="16"/>
        <v/>
      </c>
      <c r="P233" s="139" t="str">
        <f t="shared" si="18"/>
        <v>-</v>
      </c>
      <c r="Q233" s="139"/>
      <c r="R233" s="139"/>
      <c r="S233" s="139"/>
      <c r="T233" s="139"/>
      <c r="U233" s="139"/>
    </row>
    <row r="234" spans="1:77" s="140" customFormat="1" ht="35.1" customHeight="1">
      <c r="A234" s="63"/>
      <c r="B234" s="163"/>
      <c r="C234" s="89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138"/>
      <c r="O234" s="138" t="str">
        <f t="shared" si="16"/>
        <v/>
      </c>
      <c r="P234" s="139" t="str">
        <f t="shared" si="18"/>
        <v>-</v>
      </c>
      <c r="Q234" s="139"/>
      <c r="R234" s="139"/>
      <c r="S234" s="139"/>
      <c r="T234" s="139"/>
      <c r="U234" s="139"/>
    </row>
    <row r="235" spans="1:77" s="140" customFormat="1" ht="35.1" customHeight="1">
      <c r="A235" s="63"/>
      <c r="B235" s="163"/>
      <c r="C235" s="89"/>
      <c r="D235" s="65"/>
      <c r="E235" s="65"/>
      <c r="F235" s="65"/>
      <c r="G235" s="65"/>
      <c r="H235" s="65"/>
      <c r="I235" s="65"/>
      <c r="J235" s="44"/>
      <c r="K235" s="44">
        <v>0</v>
      </c>
      <c r="L235" s="44">
        <v>0</v>
      </c>
      <c r="M235" s="17"/>
      <c r="N235" s="138"/>
      <c r="O235" s="138" t="str">
        <f t="shared" si="16"/>
        <v/>
      </c>
      <c r="P235" s="139" t="str">
        <f t="shared" si="18"/>
        <v>-</v>
      </c>
      <c r="Q235" s="139"/>
      <c r="R235" s="139"/>
      <c r="S235" s="139"/>
      <c r="T235" s="139"/>
      <c r="U235" s="139"/>
    </row>
    <row r="236" spans="1:77" s="140" customFormat="1" ht="35.1" customHeight="1">
      <c r="A236" s="63"/>
      <c r="B236" s="163"/>
      <c r="C236" s="89"/>
      <c r="D236" s="65"/>
      <c r="E236" s="65"/>
      <c r="F236" s="65"/>
      <c r="G236" s="65"/>
      <c r="H236" s="65"/>
      <c r="I236" s="65"/>
      <c r="J236" s="44"/>
      <c r="K236" s="44">
        <v>0</v>
      </c>
      <c r="L236" s="44">
        <v>0</v>
      </c>
      <c r="M236" s="17"/>
      <c r="N236" s="138"/>
      <c r="O236" s="138" t="str">
        <f t="shared" si="16"/>
        <v/>
      </c>
      <c r="P236" s="139" t="str">
        <f t="shared" si="18"/>
        <v>-</v>
      </c>
      <c r="Q236" s="139"/>
      <c r="R236" s="139"/>
      <c r="S236" s="139"/>
      <c r="T236" s="139"/>
      <c r="U236" s="139"/>
    </row>
    <row r="237" spans="1:77" s="140" customFormat="1" ht="35.1" customHeight="1">
      <c r="A237" s="63"/>
      <c r="B237" s="163"/>
      <c r="C237" s="89"/>
      <c r="D237" s="65"/>
      <c r="E237" s="65"/>
      <c r="F237" s="65"/>
      <c r="G237" s="65"/>
      <c r="H237" s="65"/>
      <c r="I237" s="65"/>
      <c r="J237" s="44"/>
      <c r="K237" s="44">
        <v>0</v>
      </c>
      <c r="L237" s="44">
        <v>0</v>
      </c>
      <c r="M237" s="17"/>
      <c r="N237" s="138"/>
      <c r="O237" s="138" t="str">
        <f t="shared" si="16"/>
        <v/>
      </c>
      <c r="P237" s="139" t="str">
        <f t="shared" si="18"/>
        <v>-</v>
      </c>
      <c r="Q237" s="139"/>
      <c r="R237" s="139"/>
      <c r="S237" s="139"/>
      <c r="T237" s="139"/>
      <c r="U237" s="139"/>
    </row>
    <row r="238" spans="1:77" s="140" customFormat="1" ht="35.1" customHeight="1">
      <c r="A238" s="63"/>
      <c r="B238" s="163"/>
      <c r="C238" s="64"/>
      <c r="D238" s="65"/>
      <c r="E238" s="65"/>
      <c r="F238" s="65"/>
      <c r="G238" s="65"/>
      <c r="H238" s="65"/>
      <c r="I238" s="65"/>
      <c r="J238" s="44"/>
      <c r="K238" s="44"/>
      <c r="L238" s="44"/>
      <c r="M238" s="17"/>
      <c r="N238" s="138"/>
      <c r="O238" s="138" t="str">
        <f t="shared" si="16"/>
        <v/>
      </c>
      <c r="P238" s="139" t="str">
        <f t="shared" si="18"/>
        <v>-</v>
      </c>
      <c r="Q238" s="139"/>
      <c r="R238" s="139"/>
      <c r="S238" s="139"/>
      <c r="T238" s="139"/>
      <c r="U238" s="139"/>
    </row>
    <row r="239" spans="1:77" s="140" customFormat="1" ht="35.1" customHeight="1">
      <c r="A239" s="63"/>
      <c r="B239" s="163"/>
      <c r="C239" s="64"/>
      <c r="D239" s="65"/>
      <c r="E239" s="65"/>
      <c r="F239" s="65"/>
      <c r="G239" s="65"/>
      <c r="H239" s="65"/>
      <c r="I239" s="65"/>
      <c r="J239" s="44"/>
      <c r="K239" s="44"/>
      <c r="L239" s="44"/>
      <c r="M239" s="17"/>
      <c r="N239" s="138"/>
      <c r="O239" s="138" t="str">
        <f t="shared" si="16"/>
        <v/>
      </c>
      <c r="P239" s="139" t="str">
        <f t="shared" si="18"/>
        <v>-</v>
      </c>
      <c r="Q239" s="139"/>
      <c r="R239" s="139"/>
      <c r="S239" s="139"/>
      <c r="T239" s="139"/>
      <c r="U239" s="139"/>
    </row>
    <row r="240" spans="1:77" s="140" customFormat="1" ht="35.1" customHeight="1">
      <c r="A240" s="63"/>
      <c r="B240" s="163"/>
      <c r="C240" s="64"/>
      <c r="D240" s="65"/>
      <c r="E240" s="65"/>
      <c r="F240" s="65"/>
      <c r="G240" s="65"/>
      <c r="H240" s="65"/>
      <c r="I240" s="65"/>
      <c r="J240" s="44"/>
      <c r="K240" s="44"/>
      <c r="L240" s="44"/>
      <c r="M240" s="17"/>
      <c r="N240" s="138"/>
      <c r="O240" s="138" t="str">
        <f t="shared" si="16"/>
        <v/>
      </c>
      <c r="P240" s="139" t="str">
        <f t="shared" si="18"/>
        <v>-</v>
      </c>
      <c r="Q240" s="139"/>
      <c r="R240" s="139"/>
      <c r="S240" s="139"/>
      <c r="T240" s="139"/>
      <c r="U240" s="139"/>
    </row>
    <row r="241" spans="1:77" s="140" customFormat="1" ht="35.1" customHeight="1">
      <c r="A241" s="63"/>
      <c r="B241" s="163"/>
      <c r="C241" s="64"/>
      <c r="D241" s="65"/>
      <c r="E241" s="65"/>
      <c r="F241" s="65"/>
      <c r="G241" s="65"/>
      <c r="H241" s="65"/>
      <c r="I241" s="65"/>
      <c r="J241" s="44"/>
      <c r="K241" s="44"/>
      <c r="L241" s="44"/>
      <c r="M241" s="17"/>
      <c r="N241" s="138"/>
      <c r="O241" s="138" t="str">
        <f t="shared" si="16"/>
        <v/>
      </c>
      <c r="P241" s="139" t="str">
        <f t="shared" si="18"/>
        <v>-</v>
      </c>
      <c r="Q241" s="139"/>
      <c r="R241" s="139"/>
      <c r="S241" s="139"/>
      <c r="T241" s="139"/>
      <c r="U241" s="139"/>
    </row>
    <row r="242" spans="1:77" s="140" customFormat="1" ht="35.1" customHeight="1">
      <c r="A242" s="63"/>
      <c r="B242" s="163"/>
      <c r="C242" s="64"/>
      <c r="D242" s="65"/>
      <c r="E242" s="65"/>
      <c r="F242" s="65"/>
      <c r="G242" s="65"/>
      <c r="H242" s="65"/>
      <c r="I242" s="65"/>
      <c r="J242" s="44"/>
      <c r="K242" s="44"/>
      <c r="L242" s="44"/>
      <c r="M242" s="17"/>
      <c r="N242" s="138"/>
      <c r="O242" s="138" t="str">
        <f t="shared" si="16"/>
        <v/>
      </c>
      <c r="P242" s="139" t="str">
        <f t="shared" si="18"/>
        <v>-</v>
      </c>
      <c r="Q242" s="139"/>
      <c r="R242" s="139"/>
      <c r="S242" s="139"/>
      <c r="T242" s="139"/>
      <c r="U242" s="139"/>
    </row>
    <row r="243" spans="1:77" s="140" customFormat="1" ht="35.1" customHeight="1">
      <c r="A243" s="63"/>
      <c r="B243" s="163"/>
      <c r="C243" s="64"/>
      <c r="D243" s="65"/>
      <c r="E243" s="65"/>
      <c r="F243" s="65"/>
      <c r="G243" s="65"/>
      <c r="H243" s="65"/>
      <c r="I243" s="65"/>
      <c r="J243" s="44"/>
      <c r="K243" s="44"/>
      <c r="L243" s="44"/>
      <c r="M243" s="17"/>
      <c r="N243" s="138"/>
      <c r="O243" s="138" t="str">
        <f t="shared" si="16"/>
        <v/>
      </c>
      <c r="P243" s="139" t="str">
        <f t="shared" si="18"/>
        <v>-</v>
      </c>
      <c r="Q243" s="139"/>
      <c r="R243" s="139"/>
      <c r="S243" s="139"/>
      <c r="T243" s="139"/>
      <c r="U243" s="139"/>
    </row>
    <row r="244" spans="1:77" s="140" customFormat="1" ht="35.1" customHeight="1">
      <c r="A244" s="63"/>
      <c r="B244" s="163"/>
      <c r="C244" s="64"/>
      <c r="D244" s="65"/>
      <c r="E244" s="65"/>
      <c r="F244" s="65"/>
      <c r="G244" s="65"/>
      <c r="H244" s="65"/>
      <c r="I244" s="65"/>
      <c r="J244" s="44"/>
      <c r="K244" s="44"/>
      <c r="L244" s="44"/>
      <c r="M244" s="17"/>
      <c r="N244" s="138"/>
      <c r="O244" s="138" t="str">
        <f t="shared" si="16"/>
        <v/>
      </c>
      <c r="P244" s="139" t="str">
        <f t="shared" si="18"/>
        <v>-</v>
      </c>
      <c r="Q244" s="139"/>
      <c r="R244" s="139"/>
      <c r="S244" s="139"/>
      <c r="T244" s="139"/>
      <c r="U244" s="139"/>
    </row>
    <row r="245" spans="1:77" s="140" customFormat="1" ht="35.1" customHeight="1">
      <c r="A245" s="63"/>
      <c r="B245" s="163"/>
      <c r="C245" s="64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138"/>
      <c r="O245" s="138" t="str">
        <f t="shared" si="16"/>
        <v/>
      </c>
      <c r="P245" s="139" t="str">
        <f t="shared" si="18"/>
        <v>-</v>
      </c>
      <c r="Q245" s="139"/>
      <c r="R245" s="139"/>
      <c r="S245" s="139"/>
      <c r="T245" s="139"/>
      <c r="U245" s="139"/>
    </row>
    <row r="246" spans="1:77" s="140" customFormat="1" ht="35.1" customHeight="1">
      <c r="A246" s="63"/>
      <c r="B246" s="163"/>
      <c r="C246" s="64"/>
      <c r="D246" s="65"/>
      <c r="E246" s="65"/>
      <c r="F246" s="65"/>
      <c r="G246" s="65"/>
      <c r="H246" s="65"/>
      <c r="I246" s="65"/>
      <c r="J246" s="44"/>
      <c r="K246" s="44"/>
      <c r="L246" s="44"/>
      <c r="M246" s="17"/>
      <c r="N246" s="138"/>
      <c r="O246" s="138" t="str">
        <f t="shared" si="16"/>
        <v/>
      </c>
      <c r="P246" s="139" t="str">
        <f t="shared" si="18"/>
        <v>-</v>
      </c>
      <c r="Q246" s="139"/>
      <c r="R246" s="139"/>
      <c r="S246" s="139"/>
      <c r="T246" s="139"/>
      <c r="U246" s="139"/>
    </row>
    <row r="247" spans="1:77" s="211" customFormat="1" ht="35.1" customHeight="1">
      <c r="A247" s="212" t="s">
        <v>41</v>
      </c>
      <c r="B247" s="213"/>
      <c r="C247" s="213"/>
      <c r="D247" s="214"/>
      <c r="E247" s="215"/>
      <c r="F247" s="215"/>
      <c r="G247" s="215">
        <f>SUM(G227:G246)</f>
        <v>0</v>
      </c>
      <c r="H247" s="214"/>
      <c r="I247" s="214"/>
      <c r="J247" s="214"/>
      <c r="K247" s="214"/>
      <c r="L247" s="214"/>
      <c r="M247" s="216"/>
      <c r="N247" s="138"/>
      <c r="O247" s="138" t="str">
        <f t="shared" si="16"/>
        <v/>
      </c>
      <c r="P247" s="139"/>
      <c r="Q247" s="139"/>
      <c r="R247" s="139"/>
      <c r="S247" s="139"/>
      <c r="T247" s="139"/>
      <c r="U247" s="139"/>
      <c r="V247" s="210"/>
      <c r="W247" s="210"/>
      <c r="X247" s="210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  <c r="BI247" s="210"/>
      <c r="BJ247" s="210"/>
      <c r="BK247" s="210"/>
      <c r="BL247" s="210"/>
      <c r="BM247" s="210"/>
      <c r="BN247" s="210"/>
      <c r="BO247" s="210"/>
      <c r="BP247" s="210"/>
      <c r="BQ247" s="210"/>
      <c r="BR247" s="210"/>
      <c r="BS247" s="210"/>
      <c r="BT247" s="210"/>
      <c r="BU247" s="210"/>
      <c r="BV247" s="210"/>
      <c r="BW247" s="210"/>
      <c r="BX247" s="210"/>
      <c r="BY247" s="210"/>
    </row>
    <row r="248" spans="1:77" s="140" customFormat="1" ht="35.1" customHeight="1">
      <c r="A248" s="58"/>
      <c r="B248" s="161"/>
      <c r="C248" s="82"/>
      <c r="D248" s="59"/>
      <c r="E248" s="59"/>
      <c r="F248" s="59"/>
      <c r="G248" s="59"/>
      <c r="H248" s="59"/>
      <c r="I248" s="59"/>
      <c r="J248" s="43"/>
      <c r="K248" s="43"/>
      <c r="L248" s="43"/>
      <c r="M248" s="16"/>
      <c r="N248" s="138"/>
      <c r="O248" s="138" t="str">
        <f t="shared" si="16"/>
        <v/>
      </c>
      <c r="P248" s="139" t="str">
        <f t="shared" ref="P248:P267" si="19">IF(E248&gt;=G248,"-","err")</f>
        <v>-</v>
      </c>
      <c r="Q248" s="139"/>
      <c r="R248" s="139"/>
      <c r="S248" s="139"/>
      <c r="T248" s="139"/>
      <c r="U248" s="139"/>
    </row>
    <row r="249" spans="1:77" s="140" customFormat="1" ht="35.1" customHeight="1">
      <c r="A249" s="92"/>
      <c r="B249" s="162"/>
      <c r="C249" s="96"/>
      <c r="D249" s="93"/>
      <c r="E249" s="93"/>
      <c r="F249" s="93"/>
      <c r="G249" s="93"/>
      <c r="H249" s="93"/>
      <c r="I249" s="93"/>
      <c r="J249" s="94"/>
      <c r="K249" s="94"/>
      <c r="L249" s="94"/>
      <c r="M249" s="95"/>
      <c r="N249" s="138"/>
      <c r="O249" s="138" t="str">
        <f t="shared" si="16"/>
        <v/>
      </c>
      <c r="P249" s="139" t="str">
        <f t="shared" si="19"/>
        <v>-</v>
      </c>
      <c r="Q249" s="139"/>
      <c r="R249" s="139"/>
      <c r="S249" s="139"/>
      <c r="T249" s="139"/>
      <c r="U249" s="139"/>
    </row>
    <row r="250" spans="1:77" s="140" customFormat="1" ht="35.1" customHeight="1">
      <c r="A250" s="63"/>
      <c r="B250" s="163"/>
      <c r="C250" s="83"/>
      <c r="D250" s="65"/>
      <c r="E250" s="65"/>
      <c r="F250" s="65"/>
      <c r="G250" s="65"/>
      <c r="H250" s="65"/>
      <c r="I250" s="65"/>
      <c r="J250" s="44">
        <v>0</v>
      </c>
      <c r="K250" s="44">
        <v>0</v>
      </c>
      <c r="L250" s="44">
        <v>0</v>
      </c>
      <c r="M250" s="17"/>
      <c r="N250" s="138"/>
      <c r="O250" s="138" t="str">
        <f t="shared" si="16"/>
        <v/>
      </c>
      <c r="P250" s="139" t="str">
        <f t="shared" si="19"/>
        <v>-</v>
      </c>
      <c r="Q250" s="139"/>
      <c r="R250" s="139"/>
      <c r="S250" s="139"/>
      <c r="T250" s="139"/>
      <c r="U250" s="139"/>
    </row>
    <row r="251" spans="1:77" s="140" customFormat="1" ht="35.1" customHeight="1">
      <c r="A251" s="63"/>
      <c r="B251" s="163"/>
      <c r="C251" s="84"/>
      <c r="D251" s="65"/>
      <c r="E251" s="65"/>
      <c r="F251" s="65"/>
      <c r="G251" s="65"/>
      <c r="H251" s="65"/>
      <c r="I251" s="65"/>
      <c r="J251" s="44">
        <v>0</v>
      </c>
      <c r="K251" s="44">
        <v>0</v>
      </c>
      <c r="L251" s="44">
        <v>0</v>
      </c>
      <c r="M251" s="17"/>
      <c r="N251" s="138"/>
      <c r="O251" s="138" t="str">
        <f t="shared" si="16"/>
        <v/>
      </c>
      <c r="P251" s="139" t="str">
        <f t="shared" si="19"/>
        <v>-</v>
      </c>
      <c r="Q251" s="139"/>
      <c r="R251" s="139"/>
      <c r="S251" s="139"/>
      <c r="T251" s="139"/>
      <c r="U251" s="139"/>
    </row>
    <row r="252" spans="1:77" s="140" customFormat="1" ht="35.1" customHeight="1">
      <c r="A252" s="63"/>
      <c r="B252" s="163"/>
      <c r="C252" s="89"/>
      <c r="D252" s="65"/>
      <c r="E252" s="65"/>
      <c r="F252" s="65"/>
      <c r="G252" s="65"/>
      <c r="H252" s="65"/>
      <c r="I252" s="65"/>
      <c r="J252" s="44">
        <v>0</v>
      </c>
      <c r="K252" s="44">
        <v>0</v>
      </c>
      <c r="L252" s="44">
        <v>0</v>
      </c>
      <c r="M252" s="17"/>
      <c r="N252" s="138"/>
      <c r="O252" s="138" t="str">
        <f t="shared" si="16"/>
        <v/>
      </c>
      <c r="P252" s="139" t="str">
        <f t="shared" si="19"/>
        <v>-</v>
      </c>
      <c r="Q252" s="139"/>
      <c r="R252" s="139"/>
      <c r="S252" s="139"/>
      <c r="T252" s="139"/>
      <c r="U252" s="139"/>
    </row>
    <row r="253" spans="1:77" s="140" customFormat="1" ht="35.1" customHeight="1">
      <c r="A253" s="63"/>
      <c r="B253" s="163"/>
      <c r="C253" s="89"/>
      <c r="D253" s="65"/>
      <c r="E253" s="65"/>
      <c r="F253" s="65"/>
      <c r="G253" s="65"/>
      <c r="H253" s="65"/>
      <c r="I253" s="65"/>
      <c r="J253" s="44">
        <v>0</v>
      </c>
      <c r="K253" s="44">
        <v>0</v>
      </c>
      <c r="L253" s="44">
        <v>0</v>
      </c>
      <c r="M253" s="17"/>
      <c r="N253" s="138"/>
      <c r="O253" s="138" t="str">
        <f t="shared" si="16"/>
        <v/>
      </c>
      <c r="P253" s="139" t="str">
        <f t="shared" si="19"/>
        <v>-</v>
      </c>
      <c r="Q253" s="139"/>
      <c r="R253" s="139"/>
      <c r="S253" s="139"/>
      <c r="T253" s="139"/>
      <c r="U253" s="139"/>
    </row>
    <row r="254" spans="1:77" s="140" customFormat="1" ht="35.1" customHeight="1">
      <c r="A254" s="63"/>
      <c r="B254" s="163"/>
      <c r="C254" s="89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138"/>
      <c r="O254" s="138" t="str">
        <f t="shared" si="16"/>
        <v/>
      </c>
      <c r="P254" s="139" t="str">
        <f t="shared" si="19"/>
        <v>-</v>
      </c>
      <c r="Q254" s="139"/>
      <c r="R254" s="139"/>
      <c r="S254" s="139"/>
      <c r="T254" s="139"/>
      <c r="U254" s="139"/>
    </row>
    <row r="255" spans="1:77" s="140" customFormat="1" ht="35.1" customHeight="1">
      <c r="A255" s="63"/>
      <c r="B255" s="163"/>
      <c r="C255" s="89"/>
      <c r="D255" s="65"/>
      <c r="E255" s="65"/>
      <c r="F255" s="65"/>
      <c r="G255" s="65"/>
      <c r="H255" s="65"/>
      <c r="I255" s="65"/>
      <c r="J255" s="44"/>
      <c r="K255" s="44"/>
      <c r="L255" s="44"/>
      <c r="M255" s="17"/>
      <c r="N255" s="138"/>
      <c r="O255" s="138" t="str">
        <f t="shared" si="16"/>
        <v/>
      </c>
      <c r="P255" s="139" t="str">
        <f t="shared" si="19"/>
        <v>-</v>
      </c>
      <c r="Q255" s="139"/>
      <c r="R255" s="139"/>
      <c r="S255" s="139"/>
      <c r="T255" s="139"/>
      <c r="U255" s="139"/>
    </row>
    <row r="256" spans="1:77" s="140" customFormat="1" ht="35.1" customHeight="1">
      <c r="A256" s="63"/>
      <c r="B256" s="163"/>
      <c r="C256" s="89"/>
      <c r="D256" s="65"/>
      <c r="E256" s="65"/>
      <c r="F256" s="65"/>
      <c r="G256" s="65"/>
      <c r="H256" s="65"/>
      <c r="I256" s="65"/>
      <c r="J256" s="44"/>
      <c r="K256" s="44"/>
      <c r="L256" s="44"/>
      <c r="M256" s="17"/>
      <c r="N256" s="138"/>
      <c r="O256" s="138" t="str">
        <f t="shared" si="16"/>
        <v/>
      </c>
      <c r="P256" s="139" t="str">
        <f t="shared" si="19"/>
        <v>-</v>
      </c>
      <c r="Q256" s="139"/>
      <c r="R256" s="139"/>
      <c r="S256" s="139"/>
      <c r="T256" s="139"/>
      <c r="U256" s="139"/>
    </row>
    <row r="257" spans="1:77" s="140" customFormat="1" ht="35.1" customHeight="1">
      <c r="A257" s="63"/>
      <c r="B257" s="163"/>
      <c r="C257" s="89"/>
      <c r="D257" s="65"/>
      <c r="E257" s="65"/>
      <c r="F257" s="65"/>
      <c r="G257" s="65"/>
      <c r="H257" s="65"/>
      <c r="I257" s="65"/>
      <c r="J257" s="44">
        <v>0</v>
      </c>
      <c r="K257" s="44">
        <v>0</v>
      </c>
      <c r="L257" s="44">
        <v>0</v>
      </c>
      <c r="M257" s="17"/>
      <c r="N257" s="138"/>
      <c r="O257" s="138" t="str">
        <f t="shared" si="16"/>
        <v/>
      </c>
      <c r="P257" s="139" t="str">
        <f t="shared" si="19"/>
        <v>-</v>
      </c>
      <c r="Q257" s="139"/>
      <c r="R257" s="139"/>
      <c r="S257" s="139"/>
      <c r="T257" s="139"/>
      <c r="U257" s="139"/>
    </row>
    <row r="258" spans="1:77" s="140" customFormat="1" ht="35.1" customHeight="1">
      <c r="A258" s="63"/>
      <c r="B258" s="163"/>
      <c r="C258" s="89"/>
      <c r="D258" s="65"/>
      <c r="E258" s="65"/>
      <c r="F258" s="65"/>
      <c r="G258" s="65"/>
      <c r="H258" s="65"/>
      <c r="I258" s="65"/>
      <c r="J258" s="44">
        <v>0</v>
      </c>
      <c r="K258" s="44">
        <v>0</v>
      </c>
      <c r="L258" s="44">
        <v>0</v>
      </c>
      <c r="M258" s="17"/>
      <c r="N258" s="138"/>
      <c r="O258" s="138" t="str">
        <f t="shared" si="16"/>
        <v/>
      </c>
      <c r="P258" s="139" t="str">
        <f t="shared" si="19"/>
        <v>-</v>
      </c>
      <c r="Q258" s="139"/>
      <c r="R258" s="139"/>
      <c r="S258" s="139"/>
      <c r="T258" s="139"/>
      <c r="U258" s="139"/>
    </row>
    <row r="259" spans="1:77" s="140" customFormat="1" ht="35.1" customHeight="1">
      <c r="A259" s="63"/>
      <c r="B259" s="163"/>
      <c r="C259" s="64"/>
      <c r="D259" s="65"/>
      <c r="E259" s="65"/>
      <c r="F259" s="65"/>
      <c r="G259" s="65"/>
      <c r="H259" s="65"/>
      <c r="I259" s="65"/>
      <c r="J259" s="44"/>
      <c r="K259" s="44"/>
      <c r="L259" s="44"/>
      <c r="M259" s="17"/>
      <c r="N259" s="138"/>
      <c r="O259" s="138" t="str">
        <f t="shared" si="16"/>
        <v/>
      </c>
      <c r="P259" s="139" t="str">
        <f t="shared" si="19"/>
        <v>-</v>
      </c>
      <c r="Q259" s="139"/>
      <c r="R259" s="139"/>
      <c r="S259" s="139"/>
      <c r="T259" s="139"/>
      <c r="U259" s="139"/>
    </row>
    <row r="260" spans="1:77" s="140" customFormat="1" ht="35.1" customHeight="1">
      <c r="A260" s="63"/>
      <c r="B260" s="163"/>
      <c r="C260" s="64"/>
      <c r="D260" s="65"/>
      <c r="E260" s="65"/>
      <c r="F260" s="65"/>
      <c r="G260" s="65"/>
      <c r="H260" s="65"/>
      <c r="I260" s="65"/>
      <c r="J260" s="44"/>
      <c r="K260" s="44"/>
      <c r="L260" s="44"/>
      <c r="M260" s="17"/>
      <c r="N260" s="138"/>
      <c r="O260" s="138" t="str">
        <f t="shared" si="16"/>
        <v/>
      </c>
      <c r="P260" s="139" t="str">
        <f t="shared" si="19"/>
        <v>-</v>
      </c>
      <c r="Q260" s="139"/>
      <c r="R260" s="139"/>
      <c r="S260" s="139"/>
      <c r="T260" s="139"/>
      <c r="U260" s="139"/>
    </row>
    <row r="261" spans="1:77" s="140" customFormat="1" ht="35.1" customHeight="1">
      <c r="A261" s="63"/>
      <c r="B261" s="163"/>
      <c r="C261" s="64"/>
      <c r="D261" s="65"/>
      <c r="E261" s="65"/>
      <c r="F261" s="65"/>
      <c r="G261" s="65"/>
      <c r="H261" s="65"/>
      <c r="I261" s="65"/>
      <c r="J261" s="44"/>
      <c r="K261" s="44"/>
      <c r="L261" s="44"/>
      <c r="M261" s="17"/>
      <c r="N261" s="138"/>
      <c r="O261" s="138" t="str">
        <f t="shared" si="16"/>
        <v/>
      </c>
      <c r="P261" s="139" t="str">
        <f t="shared" si="19"/>
        <v>-</v>
      </c>
      <c r="Q261" s="139"/>
      <c r="R261" s="139"/>
      <c r="S261" s="139"/>
      <c r="T261" s="139"/>
      <c r="U261" s="139"/>
    </row>
    <row r="262" spans="1:77" s="140" customFormat="1" ht="35.1" customHeight="1">
      <c r="A262" s="63"/>
      <c r="B262" s="163"/>
      <c r="C262" s="64"/>
      <c r="D262" s="65"/>
      <c r="E262" s="65"/>
      <c r="F262" s="65"/>
      <c r="G262" s="65"/>
      <c r="H262" s="65"/>
      <c r="I262" s="65"/>
      <c r="J262" s="44"/>
      <c r="K262" s="44"/>
      <c r="L262" s="44"/>
      <c r="M262" s="17"/>
      <c r="N262" s="138"/>
      <c r="O262" s="138" t="str">
        <f t="shared" si="16"/>
        <v/>
      </c>
      <c r="P262" s="139" t="str">
        <f t="shared" si="19"/>
        <v>-</v>
      </c>
      <c r="Q262" s="139"/>
      <c r="R262" s="139"/>
      <c r="S262" s="139"/>
      <c r="T262" s="139"/>
      <c r="U262" s="139"/>
    </row>
    <row r="263" spans="1:77" s="140" customFormat="1" ht="35.1" customHeight="1">
      <c r="A263" s="63"/>
      <c r="B263" s="163"/>
      <c r="C263" s="64"/>
      <c r="D263" s="65"/>
      <c r="E263" s="65"/>
      <c r="F263" s="65"/>
      <c r="G263" s="65"/>
      <c r="H263" s="65"/>
      <c r="I263" s="65"/>
      <c r="J263" s="44"/>
      <c r="K263" s="44"/>
      <c r="L263" s="44"/>
      <c r="M263" s="17"/>
      <c r="N263" s="138"/>
      <c r="O263" s="138" t="str">
        <f t="shared" si="16"/>
        <v/>
      </c>
      <c r="P263" s="139" t="str">
        <f t="shared" si="19"/>
        <v>-</v>
      </c>
      <c r="Q263" s="139"/>
      <c r="R263" s="139"/>
      <c r="S263" s="139"/>
      <c r="T263" s="139"/>
      <c r="U263" s="139"/>
    </row>
    <row r="264" spans="1:77" s="140" customFormat="1" ht="35.1" customHeight="1">
      <c r="A264" s="63"/>
      <c r="B264" s="163"/>
      <c r="C264" s="64"/>
      <c r="D264" s="65"/>
      <c r="E264" s="65"/>
      <c r="F264" s="65"/>
      <c r="G264" s="65"/>
      <c r="H264" s="65"/>
      <c r="I264" s="65"/>
      <c r="J264" s="44"/>
      <c r="K264" s="44"/>
      <c r="L264" s="44"/>
      <c r="M264" s="17"/>
      <c r="N264" s="138"/>
      <c r="O264" s="138" t="str">
        <f t="shared" si="16"/>
        <v/>
      </c>
      <c r="P264" s="139" t="str">
        <f t="shared" si="19"/>
        <v>-</v>
      </c>
      <c r="Q264" s="139"/>
      <c r="R264" s="139"/>
      <c r="S264" s="139"/>
      <c r="T264" s="139"/>
      <c r="U264" s="139"/>
    </row>
    <row r="265" spans="1:77" s="140" customFormat="1" ht="35.1" customHeight="1">
      <c r="A265" s="63"/>
      <c r="B265" s="163"/>
      <c r="C265" s="64"/>
      <c r="D265" s="65"/>
      <c r="E265" s="65"/>
      <c r="F265" s="65"/>
      <c r="G265" s="65"/>
      <c r="H265" s="65"/>
      <c r="I265" s="65"/>
      <c r="J265" s="44"/>
      <c r="K265" s="44"/>
      <c r="L265" s="44"/>
      <c r="M265" s="17"/>
      <c r="N265" s="138"/>
      <c r="O265" s="138" t="str">
        <f t="shared" ref="O265:O289" si="20">CONCATENATE(D265,H265)</f>
        <v/>
      </c>
      <c r="P265" s="139" t="str">
        <f t="shared" si="19"/>
        <v>-</v>
      </c>
      <c r="Q265" s="139"/>
      <c r="R265" s="139"/>
      <c r="S265" s="139"/>
      <c r="T265" s="139"/>
      <c r="U265" s="139"/>
    </row>
    <row r="266" spans="1:77" s="140" customFormat="1" ht="35.1" customHeight="1">
      <c r="A266" s="63"/>
      <c r="B266" s="163"/>
      <c r="C266" s="64"/>
      <c r="D266" s="65"/>
      <c r="E266" s="65"/>
      <c r="F266" s="65"/>
      <c r="G266" s="65"/>
      <c r="H266" s="65"/>
      <c r="I266" s="65"/>
      <c r="J266" s="44"/>
      <c r="K266" s="44"/>
      <c r="L266" s="44"/>
      <c r="M266" s="17"/>
      <c r="N266" s="138"/>
      <c r="O266" s="138" t="str">
        <f t="shared" si="20"/>
        <v/>
      </c>
      <c r="P266" s="139" t="str">
        <f t="shared" si="19"/>
        <v>-</v>
      </c>
      <c r="Q266" s="139"/>
      <c r="R266" s="139"/>
      <c r="S266" s="139"/>
      <c r="T266" s="139"/>
      <c r="U266" s="139"/>
    </row>
    <row r="267" spans="1:77" s="140" customFormat="1" ht="35.1" customHeight="1">
      <c r="A267" s="63"/>
      <c r="B267" s="163"/>
      <c r="C267" s="64"/>
      <c r="D267" s="65"/>
      <c r="E267" s="65"/>
      <c r="F267" s="65"/>
      <c r="G267" s="65"/>
      <c r="H267" s="65"/>
      <c r="I267" s="65"/>
      <c r="J267" s="44"/>
      <c r="K267" s="44"/>
      <c r="L267" s="44"/>
      <c r="M267" s="17"/>
      <c r="N267" s="138"/>
      <c r="O267" s="138" t="str">
        <f t="shared" si="20"/>
        <v/>
      </c>
      <c r="P267" s="139" t="str">
        <f t="shared" si="19"/>
        <v>-</v>
      </c>
      <c r="Q267" s="139"/>
      <c r="R267" s="139"/>
      <c r="S267" s="139"/>
      <c r="T267" s="139"/>
      <c r="U267" s="139"/>
    </row>
    <row r="268" spans="1:77" s="211" customFormat="1" ht="35.1" customHeight="1">
      <c r="A268" s="212" t="s">
        <v>41</v>
      </c>
      <c r="B268" s="213"/>
      <c r="C268" s="213"/>
      <c r="D268" s="214"/>
      <c r="E268" s="215"/>
      <c r="F268" s="215"/>
      <c r="G268" s="215">
        <f>SUM(G248:G267)</f>
        <v>0</v>
      </c>
      <c r="H268" s="214"/>
      <c r="I268" s="214"/>
      <c r="J268" s="214"/>
      <c r="K268" s="214"/>
      <c r="L268" s="214"/>
      <c r="M268" s="216"/>
      <c r="N268" s="138"/>
      <c r="O268" s="138" t="str">
        <f t="shared" si="20"/>
        <v/>
      </c>
      <c r="P268" s="139"/>
      <c r="Q268" s="139"/>
      <c r="R268" s="139"/>
      <c r="S268" s="139"/>
      <c r="T268" s="139"/>
      <c r="U268" s="139"/>
      <c r="V268" s="210"/>
      <c r="W268" s="210"/>
      <c r="X268" s="210"/>
      <c r="Y268" s="210"/>
      <c r="Z268" s="210"/>
      <c r="AA268" s="210"/>
      <c r="AB268" s="210"/>
      <c r="AC268" s="210"/>
      <c r="AD268" s="210"/>
      <c r="AE268" s="210"/>
      <c r="AF268" s="210"/>
      <c r="AG268" s="210"/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  <c r="BI268" s="210"/>
      <c r="BJ268" s="210"/>
      <c r="BK268" s="210"/>
      <c r="BL268" s="210"/>
      <c r="BM268" s="210"/>
      <c r="BN268" s="210"/>
      <c r="BO268" s="210"/>
      <c r="BP268" s="210"/>
      <c r="BQ268" s="210"/>
      <c r="BR268" s="210"/>
      <c r="BS268" s="210"/>
      <c r="BT268" s="210"/>
      <c r="BU268" s="210"/>
      <c r="BV268" s="210"/>
      <c r="BW268" s="210"/>
      <c r="BX268" s="210"/>
      <c r="BY268" s="210"/>
    </row>
    <row r="269" spans="1:77" s="140" customFormat="1" ht="35.1" customHeight="1">
      <c r="A269" s="58"/>
      <c r="B269" s="161"/>
      <c r="C269" s="82"/>
      <c r="D269" s="59"/>
      <c r="E269" s="59"/>
      <c r="F269" s="59"/>
      <c r="G269" s="59"/>
      <c r="H269" s="59"/>
      <c r="I269" s="59"/>
      <c r="J269" s="43"/>
      <c r="K269" s="43"/>
      <c r="L269" s="43"/>
      <c r="M269" s="16"/>
      <c r="N269" s="138"/>
      <c r="O269" s="138" t="str">
        <f t="shared" si="20"/>
        <v/>
      </c>
      <c r="P269" s="139" t="str">
        <f t="shared" ref="P269:P288" si="21">IF(E269&gt;=G269,"-","err")</f>
        <v>-</v>
      </c>
      <c r="Q269" s="139"/>
      <c r="R269" s="139"/>
      <c r="S269" s="139"/>
      <c r="T269" s="139"/>
      <c r="U269" s="139"/>
    </row>
    <row r="270" spans="1:77" s="140" customFormat="1" ht="35.1" customHeight="1">
      <c r="A270" s="92"/>
      <c r="B270" s="162"/>
      <c r="C270" s="96"/>
      <c r="D270" s="93"/>
      <c r="E270" s="93"/>
      <c r="F270" s="93"/>
      <c r="G270" s="93"/>
      <c r="H270" s="93"/>
      <c r="I270" s="93"/>
      <c r="J270" s="94"/>
      <c r="K270" s="94"/>
      <c r="L270" s="94"/>
      <c r="M270" s="95"/>
      <c r="N270" s="138"/>
      <c r="O270" s="138" t="str">
        <f t="shared" si="20"/>
        <v/>
      </c>
      <c r="P270" s="139" t="str">
        <f t="shared" si="21"/>
        <v>-</v>
      </c>
      <c r="Q270" s="139"/>
      <c r="R270" s="139"/>
      <c r="S270" s="139"/>
      <c r="T270" s="139"/>
      <c r="U270" s="139"/>
    </row>
    <row r="271" spans="1:77" s="140" customFormat="1" ht="35.1" customHeight="1">
      <c r="A271" s="63"/>
      <c r="B271" s="163"/>
      <c r="C271" s="83"/>
      <c r="D271" s="65"/>
      <c r="E271" s="65"/>
      <c r="F271" s="65"/>
      <c r="G271" s="65"/>
      <c r="H271" s="65"/>
      <c r="I271" s="65"/>
      <c r="J271" s="44"/>
      <c r="K271" s="44">
        <v>0</v>
      </c>
      <c r="L271" s="44">
        <v>0</v>
      </c>
      <c r="M271" s="17"/>
      <c r="N271" s="138"/>
      <c r="O271" s="138" t="str">
        <f t="shared" si="20"/>
        <v/>
      </c>
      <c r="P271" s="139" t="str">
        <f t="shared" si="21"/>
        <v>-</v>
      </c>
      <c r="Q271" s="139"/>
      <c r="R271" s="139"/>
      <c r="S271" s="139"/>
      <c r="T271" s="139"/>
      <c r="U271" s="139"/>
    </row>
    <row r="272" spans="1:77" s="140" customFormat="1" ht="35.1" customHeight="1">
      <c r="A272" s="63"/>
      <c r="B272" s="163"/>
      <c r="C272" s="84"/>
      <c r="D272" s="65"/>
      <c r="E272" s="65"/>
      <c r="F272" s="65"/>
      <c r="G272" s="65"/>
      <c r="H272" s="65"/>
      <c r="I272" s="65"/>
      <c r="J272" s="44"/>
      <c r="K272" s="44">
        <v>0</v>
      </c>
      <c r="L272" s="44">
        <v>0</v>
      </c>
      <c r="M272" s="17"/>
      <c r="N272" s="138"/>
      <c r="O272" s="138" t="str">
        <f t="shared" si="20"/>
        <v/>
      </c>
      <c r="P272" s="139" t="str">
        <f t="shared" si="21"/>
        <v>-</v>
      </c>
      <c r="Q272" s="139"/>
      <c r="R272" s="139"/>
      <c r="S272" s="139"/>
      <c r="T272" s="139"/>
      <c r="U272" s="139"/>
    </row>
    <row r="273" spans="1:21" s="140" customFormat="1" ht="35.1" customHeight="1">
      <c r="A273" s="63"/>
      <c r="B273" s="163"/>
      <c r="C273" s="89"/>
      <c r="D273" s="65"/>
      <c r="E273" s="65"/>
      <c r="F273" s="65"/>
      <c r="G273" s="65"/>
      <c r="H273" s="65"/>
      <c r="I273" s="65"/>
      <c r="J273" s="44"/>
      <c r="K273" s="44">
        <v>0</v>
      </c>
      <c r="L273" s="44">
        <v>0</v>
      </c>
      <c r="M273" s="17"/>
      <c r="N273" s="138"/>
      <c r="O273" s="138" t="str">
        <f t="shared" si="20"/>
        <v/>
      </c>
      <c r="P273" s="139" t="str">
        <f t="shared" si="21"/>
        <v>-</v>
      </c>
      <c r="Q273" s="139"/>
      <c r="R273" s="139"/>
      <c r="S273" s="139"/>
      <c r="T273" s="139"/>
      <c r="U273" s="139"/>
    </row>
    <row r="274" spans="1:21" s="140" customFormat="1" ht="35.1" customHeight="1">
      <c r="A274" s="63"/>
      <c r="B274" s="163"/>
      <c r="C274" s="89"/>
      <c r="D274" s="65"/>
      <c r="E274" s="65"/>
      <c r="F274" s="65"/>
      <c r="G274" s="65"/>
      <c r="H274" s="65"/>
      <c r="I274" s="65"/>
      <c r="J274" s="44"/>
      <c r="K274" s="44">
        <v>0</v>
      </c>
      <c r="L274" s="44">
        <v>0</v>
      </c>
      <c r="M274" s="17"/>
      <c r="N274" s="138"/>
      <c r="O274" s="138" t="str">
        <f t="shared" si="20"/>
        <v/>
      </c>
      <c r="P274" s="139" t="str">
        <f t="shared" si="21"/>
        <v>-</v>
      </c>
      <c r="Q274" s="139"/>
      <c r="R274" s="139"/>
      <c r="S274" s="139"/>
      <c r="T274" s="139"/>
      <c r="U274" s="139"/>
    </row>
    <row r="275" spans="1:21" s="140" customFormat="1" ht="35.1" customHeight="1">
      <c r="A275" s="63"/>
      <c r="B275" s="163"/>
      <c r="C275" s="89"/>
      <c r="D275" s="65"/>
      <c r="E275" s="65"/>
      <c r="F275" s="65"/>
      <c r="G275" s="65"/>
      <c r="H275" s="65"/>
      <c r="I275" s="65"/>
      <c r="J275" s="44"/>
      <c r="K275" s="44">
        <v>0</v>
      </c>
      <c r="L275" s="44">
        <v>0</v>
      </c>
      <c r="M275" s="17"/>
      <c r="N275" s="138"/>
      <c r="O275" s="138" t="str">
        <f t="shared" si="20"/>
        <v/>
      </c>
      <c r="P275" s="139" t="str">
        <f t="shared" si="21"/>
        <v>-</v>
      </c>
      <c r="Q275" s="139"/>
      <c r="R275" s="139"/>
      <c r="S275" s="139"/>
      <c r="T275" s="139"/>
      <c r="U275" s="139"/>
    </row>
    <row r="276" spans="1:21" s="140" customFormat="1" ht="35.1" customHeight="1">
      <c r="A276" s="63"/>
      <c r="B276" s="163"/>
      <c r="C276" s="89"/>
      <c r="D276" s="65"/>
      <c r="E276" s="65"/>
      <c r="F276" s="65"/>
      <c r="G276" s="65"/>
      <c r="H276" s="65"/>
      <c r="I276" s="65"/>
      <c r="J276" s="44"/>
      <c r="K276" s="44"/>
      <c r="L276" s="44"/>
      <c r="M276" s="17"/>
      <c r="N276" s="138"/>
      <c r="O276" s="138" t="str">
        <f t="shared" si="20"/>
        <v/>
      </c>
      <c r="P276" s="139" t="str">
        <f t="shared" si="21"/>
        <v>-</v>
      </c>
      <c r="Q276" s="139"/>
      <c r="R276" s="139"/>
      <c r="S276" s="139"/>
      <c r="T276" s="139"/>
      <c r="U276" s="139"/>
    </row>
    <row r="277" spans="1:21" s="140" customFormat="1" ht="35.1" customHeight="1">
      <c r="A277" s="63"/>
      <c r="B277" s="163"/>
      <c r="C277" s="89"/>
      <c r="D277" s="65"/>
      <c r="E277" s="65"/>
      <c r="F277" s="65"/>
      <c r="G277" s="65"/>
      <c r="H277" s="65"/>
      <c r="I277" s="65"/>
      <c r="J277" s="44"/>
      <c r="K277" s="44">
        <v>0</v>
      </c>
      <c r="L277" s="44">
        <v>0</v>
      </c>
      <c r="M277" s="17"/>
      <c r="N277" s="138"/>
      <c r="O277" s="138" t="str">
        <f t="shared" si="20"/>
        <v/>
      </c>
      <c r="P277" s="139" t="str">
        <f t="shared" si="21"/>
        <v>-</v>
      </c>
      <c r="Q277" s="139"/>
      <c r="R277" s="139"/>
      <c r="S277" s="139"/>
      <c r="T277" s="139"/>
      <c r="U277" s="139"/>
    </row>
    <row r="278" spans="1:21" s="140" customFormat="1" ht="35.1" customHeight="1">
      <c r="A278" s="63"/>
      <c r="B278" s="163"/>
      <c r="C278" s="89"/>
      <c r="D278" s="65"/>
      <c r="E278" s="65"/>
      <c r="F278" s="65"/>
      <c r="G278" s="65"/>
      <c r="H278" s="65"/>
      <c r="I278" s="65"/>
      <c r="J278" s="44"/>
      <c r="K278" s="44">
        <v>0</v>
      </c>
      <c r="L278" s="44">
        <v>0</v>
      </c>
      <c r="M278" s="17"/>
      <c r="N278" s="138"/>
      <c r="O278" s="138" t="str">
        <f t="shared" si="20"/>
        <v/>
      </c>
      <c r="P278" s="139" t="str">
        <f t="shared" si="21"/>
        <v>-</v>
      </c>
      <c r="Q278" s="139"/>
      <c r="R278" s="139"/>
      <c r="S278" s="139"/>
      <c r="T278" s="139"/>
      <c r="U278" s="139"/>
    </row>
    <row r="279" spans="1:21" s="140" customFormat="1" ht="35.1" customHeight="1">
      <c r="A279" s="63"/>
      <c r="B279" s="163"/>
      <c r="C279" s="89"/>
      <c r="D279" s="65"/>
      <c r="E279" s="65"/>
      <c r="F279" s="65"/>
      <c r="G279" s="65"/>
      <c r="H279" s="65"/>
      <c r="I279" s="65"/>
      <c r="J279" s="44"/>
      <c r="K279" s="44">
        <v>0</v>
      </c>
      <c r="L279" s="44">
        <v>0</v>
      </c>
      <c r="M279" s="17"/>
      <c r="N279" s="138"/>
      <c r="O279" s="138" t="str">
        <f t="shared" si="20"/>
        <v/>
      </c>
      <c r="P279" s="139" t="str">
        <f t="shared" si="21"/>
        <v>-</v>
      </c>
      <c r="Q279" s="139"/>
      <c r="R279" s="139"/>
      <c r="S279" s="139"/>
      <c r="T279" s="139"/>
      <c r="U279" s="139"/>
    </row>
    <row r="280" spans="1:21" s="140" customFormat="1" ht="35.1" customHeight="1">
      <c r="A280" s="63"/>
      <c r="B280" s="163"/>
      <c r="C280" s="64"/>
      <c r="D280" s="65"/>
      <c r="E280" s="65"/>
      <c r="F280" s="65"/>
      <c r="G280" s="65"/>
      <c r="H280" s="65"/>
      <c r="I280" s="65"/>
      <c r="J280" s="44"/>
      <c r="K280" s="44"/>
      <c r="L280" s="44"/>
      <c r="M280" s="17"/>
      <c r="N280" s="138"/>
      <c r="O280" s="138" t="str">
        <f t="shared" si="20"/>
        <v/>
      </c>
      <c r="P280" s="139" t="str">
        <f t="shared" si="21"/>
        <v>-</v>
      </c>
      <c r="Q280" s="139"/>
      <c r="R280" s="139"/>
      <c r="S280" s="139"/>
      <c r="T280" s="139"/>
      <c r="U280" s="139"/>
    </row>
    <row r="281" spans="1:21" s="140" customFormat="1" ht="35.1" customHeight="1">
      <c r="A281" s="63"/>
      <c r="B281" s="163"/>
      <c r="C281" s="64"/>
      <c r="D281" s="65"/>
      <c r="E281" s="65"/>
      <c r="F281" s="65"/>
      <c r="G281" s="65"/>
      <c r="H281" s="65"/>
      <c r="I281" s="65"/>
      <c r="J281" s="44"/>
      <c r="K281" s="44"/>
      <c r="L281" s="44"/>
      <c r="M281" s="17"/>
      <c r="N281" s="138"/>
      <c r="O281" s="138" t="str">
        <f t="shared" si="20"/>
        <v/>
      </c>
      <c r="P281" s="139" t="str">
        <f t="shared" si="21"/>
        <v>-</v>
      </c>
      <c r="Q281" s="139"/>
      <c r="R281" s="139"/>
      <c r="S281" s="139"/>
      <c r="T281" s="139"/>
      <c r="U281" s="139"/>
    </row>
    <row r="282" spans="1:21" s="140" customFormat="1" ht="35.1" customHeight="1">
      <c r="A282" s="63"/>
      <c r="B282" s="163"/>
      <c r="C282" s="64"/>
      <c r="D282" s="65"/>
      <c r="E282" s="65"/>
      <c r="F282" s="65"/>
      <c r="G282" s="65"/>
      <c r="H282" s="65"/>
      <c r="I282" s="65"/>
      <c r="J282" s="44"/>
      <c r="K282" s="44"/>
      <c r="L282" s="44"/>
      <c r="M282" s="17"/>
      <c r="N282" s="138"/>
      <c r="O282" s="138" t="str">
        <f t="shared" si="20"/>
        <v/>
      </c>
      <c r="P282" s="139" t="str">
        <f t="shared" si="21"/>
        <v>-</v>
      </c>
      <c r="Q282" s="139"/>
      <c r="R282" s="139"/>
      <c r="S282" s="139"/>
      <c r="T282" s="139"/>
      <c r="U282" s="139"/>
    </row>
    <row r="283" spans="1:21" s="140" customFormat="1" ht="35.1" customHeight="1">
      <c r="A283" s="63"/>
      <c r="B283" s="163"/>
      <c r="C283" s="64"/>
      <c r="D283" s="65"/>
      <c r="E283" s="65"/>
      <c r="F283" s="65"/>
      <c r="G283" s="65"/>
      <c r="H283" s="65"/>
      <c r="I283" s="65"/>
      <c r="J283" s="44"/>
      <c r="K283" s="44"/>
      <c r="L283" s="44"/>
      <c r="M283" s="17"/>
      <c r="N283" s="138"/>
      <c r="O283" s="138" t="str">
        <f t="shared" si="20"/>
        <v/>
      </c>
      <c r="P283" s="139" t="str">
        <f t="shared" si="21"/>
        <v>-</v>
      </c>
      <c r="Q283" s="139"/>
      <c r="R283" s="139"/>
      <c r="S283" s="139"/>
      <c r="T283" s="139"/>
      <c r="U283" s="139"/>
    </row>
    <row r="284" spans="1:21" s="140" customFormat="1" ht="35.1" customHeight="1">
      <c r="A284" s="63"/>
      <c r="B284" s="163"/>
      <c r="C284" s="64"/>
      <c r="D284" s="65"/>
      <c r="E284" s="65"/>
      <c r="F284" s="65"/>
      <c r="G284" s="65"/>
      <c r="H284" s="65"/>
      <c r="I284" s="65"/>
      <c r="J284" s="44"/>
      <c r="K284" s="44"/>
      <c r="L284" s="44"/>
      <c r="M284" s="17"/>
      <c r="N284" s="138"/>
      <c r="O284" s="138" t="str">
        <f t="shared" si="20"/>
        <v/>
      </c>
      <c r="P284" s="139" t="str">
        <f t="shared" si="21"/>
        <v>-</v>
      </c>
      <c r="Q284" s="139"/>
      <c r="R284" s="139"/>
      <c r="S284" s="139"/>
      <c r="T284" s="139"/>
      <c r="U284" s="139"/>
    </row>
    <row r="285" spans="1:21" s="140" customFormat="1" ht="35.1" customHeight="1">
      <c r="A285" s="63"/>
      <c r="B285" s="163"/>
      <c r="C285" s="64"/>
      <c r="D285" s="65"/>
      <c r="E285" s="65"/>
      <c r="F285" s="65"/>
      <c r="G285" s="65"/>
      <c r="H285" s="65"/>
      <c r="I285" s="65"/>
      <c r="J285" s="44"/>
      <c r="K285" s="44"/>
      <c r="L285" s="44"/>
      <c r="M285" s="17"/>
      <c r="N285" s="138"/>
      <c r="O285" s="138" t="str">
        <f t="shared" si="20"/>
        <v/>
      </c>
      <c r="P285" s="139" t="str">
        <f t="shared" si="21"/>
        <v>-</v>
      </c>
      <c r="Q285" s="139"/>
      <c r="R285" s="139"/>
      <c r="S285" s="139"/>
      <c r="T285" s="139"/>
      <c r="U285" s="139"/>
    </row>
    <row r="286" spans="1:21" s="140" customFormat="1" ht="35.1" customHeight="1">
      <c r="A286" s="63"/>
      <c r="B286" s="163"/>
      <c r="C286" s="64"/>
      <c r="D286" s="65"/>
      <c r="E286" s="65"/>
      <c r="F286" s="65"/>
      <c r="G286" s="65"/>
      <c r="H286" s="65"/>
      <c r="I286" s="65"/>
      <c r="J286" s="44"/>
      <c r="K286" s="44"/>
      <c r="L286" s="44"/>
      <c r="M286" s="17"/>
      <c r="N286" s="138"/>
      <c r="O286" s="138" t="str">
        <f t="shared" si="20"/>
        <v/>
      </c>
      <c r="P286" s="139" t="str">
        <f t="shared" si="21"/>
        <v>-</v>
      </c>
      <c r="Q286" s="139"/>
      <c r="R286" s="139"/>
      <c r="S286" s="139"/>
      <c r="T286" s="139"/>
      <c r="U286" s="139"/>
    </row>
    <row r="287" spans="1:21" s="140" customFormat="1" ht="35.1" customHeight="1">
      <c r="A287" s="63"/>
      <c r="B287" s="163"/>
      <c r="C287" s="64"/>
      <c r="D287" s="65"/>
      <c r="E287" s="65"/>
      <c r="F287" s="65"/>
      <c r="G287" s="65"/>
      <c r="H287" s="65"/>
      <c r="I287" s="65"/>
      <c r="J287" s="44"/>
      <c r="K287" s="44"/>
      <c r="L287" s="44"/>
      <c r="M287" s="17"/>
      <c r="N287" s="138"/>
      <c r="O287" s="138" t="str">
        <f t="shared" si="20"/>
        <v/>
      </c>
      <c r="P287" s="139" t="str">
        <f t="shared" si="21"/>
        <v>-</v>
      </c>
      <c r="Q287" s="139"/>
      <c r="R287" s="139"/>
      <c r="S287" s="139"/>
      <c r="T287" s="139"/>
      <c r="U287" s="139"/>
    </row>
    <row r="288" spans="1:21" s="140" customFormat="1" ht="35.1" customHeight="1">
      <c r="A288" s="63"/>
      <c r="B288" s="163"/>
      <c r="C288" s="64"/>
      <c r="D288" s="65"/>
      <c r="E288" s="65"/>
      <c r="F288" s="65"/>
      <c r="G288" s="65"/>
      <c r="H288" s="65"/>
      <c r="I288" s="65"/>
      <c r="J288" s="44"/>
      <c r="K288" s="44"/>
      <c r="L288" s="44"/>
      <c r="M288" s="17"/>
      <c r="N288" s="138"/>
      <c r="O288" s="138" t="str">
        <f t="shared" si="20"/>
        <v/>
      </c>
      <c r="P288" s="139" t="str">
        <f t="shared" si="21"/>
        <v>-</v>
      </c>
      <c r="Q288" s="139"/>
      <c r="R288" s="139"/>
      <c r="S288" s="139"/>
      <c r="T288" s="139"/>
      <c r="U288" s="139"/>
    </row>
    <row r="289" spans="1:77" s="211" customFormat="1" ht="35.1" customHeight="1">
      <c r="A289" s="212" t="s">
        <v>41</v>
      </c>
      <c r="B289" s="213"/>
      <c r="C289" s="213"/>
      <c r="D289" s="214"/>
      <c r="E289" s="215"/>
      <c r="F289" s="215"/>
      <c r="G289" s="215">
        <f>SUM(G269:G288)</f>
        <v>0</v>
      </c>
      <c r="H289" s="214"/>
      <c r="I289" s="214"/>
      <c r="J289" s="214"/>
      <c r="K289" s="214"/>
      <c r="L289" s="214"/>
      <c r="M289" s="216"/>
      <c r="N289" s="138"/>
      <c r="O289" s="138" t="str">
        <f t="shared" si="20"/>
        <v/>
      </c>
      <c r="P289" s="139"/>
      <c r="Q289" s="139"/>
      <c r="R289" s="139"/>
      <c r="S289" s="139"/>
      <c r="T289" s="139"/>
      <c r="U289" s="139"/>
      <c r="V289" s="210"/>
      <c r="W289" s="210"/>
      <c r="X289" s="210"/>
      <c r="Y289" s="210"/>
      <c r="Z289" s="210"/>
      <c r="AA289" s="210"/>
      <c r="AB289" s="210"/>
      <c r="AC289" s="210"/>
      <c r="AD289" s="210"/>
      <c r="AE289" s="210"/>
      <c r="AF289" s="210"/>
      <c r="AG289" s="210"/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  <c r="BI289" s="210"/>
      <c r="BJ289" s="210"/>
      <c r="BK289" s="210"/>
      <c r="BL289" s="210"/>
      <c r="BM289" s="210"/>
      <c r="BN289" s="210"/>
      <c r="BO289" s="210"/>
      <c r="BP289" s="210"/>
      <c r="BQ289" s="210"/>
      <c r="BR289" s="210"/>
      <c r="BS289" s="210"/>
      <c r="BT289" s="210"/>
      <c r="BU289" s="210"/>
      <c r="BV289" s="210"/>
      <c r="BW289" s="210"/>
      <c r="BX289" s="210"/>
      <c r="BY289" s="210"/>
    </row>
  </sheetData>
  <mergeCells count="10">
    <mergeCell ref="A43:A65"/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Y258"/>
  <sheetViews>
    <sheetView showGridLines="0" showZeros="0" view="pageBreakPreview" topLeftCell="A6" zoomScaleSheetLayoutView="100" workbookViewId="0">
      <selection activeCell="Q6" sqref="Q6"/>
    </sheetView>
  </sheetViews>
  <sheetFormatPr defaultRowHeight="11.25"/>
  <cols>
    <col min="1" max="1" width="3.77734375" style="50" customWidth="1"/>
    <col min="2" max="3" width="7.77734375" style="50" customWidth="1"/>
    <col min="4" max="4" width="3.77734375" style="50" customWidth="1"/>
    <col min="5" max="5" width="7.77734375" style="50" customWidth="1"/>
    <col min="6" max="6" width="5.77734375" style="50" customWidth="1"/>
    <col min="7" max="7" width="5.77734375" style="74" customWidth="1"/>
    <col min="8" max="8" width="7.77734375" style="50" customWidth="1"/>
    <col min="9" max="9" width="15.77734375" style="50" customWidth="1"/>
    <col min="10" max="10" width="12.77734375" style="50" customWidth="1"/>
    <col min="11" max="11" width="25.77734375" style="50" customWidth="1"/>
    <col min="12" max="12" width="10.77734375" style="50" customWidth="1"/>
    <col min="13" max="13" width="4.77734375" style="50" customWidth="1"/>
    <col min="14" max="15" width="8" style="75" customWidth="1"/>
    <col min="16" max="20" width="9.77734375" style="50" customWidth="1"/>
    <col min="21" max="21" width="10.77734375" style="50" customWidth="1"/>
    <col min="22" max="16384" width="8.88671875" style="50"/>
  </cols>
  <sheetData>
    <row r="1" spans="1:21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</row>
    <row r="2" spans="1:21" ht="15" customHeight="1">
      <c r="A2" s="46"/>
      <c r="B2" s="46"/>
      <c r="C2" s="46"/>
      <c r="D2" s="46"/>
      <c r="E2" s="46"/>
      <c r="F2" s="46"/>
      <c r="G2" s="47"/>
      <c r="H2" s="46"/>
      <c r="I2" s="46"/>
      <c r="K2" s="106"/>
      <c r="L2" s="48"/>
      <c r="M2" s="164" t="s">
        <v>125</v>
      </c>
      <c r="N2" s="49"/>
      <c r="O2" s="49"/>
      <c r="P2" s="46"/>
      <c r="Q2" s="46"/>
      <c r="R2" s="46"/>
      <c r="S2" s="46"/>
      <c r="T2" s="46"/>
      <c r="U2" s="46"/>
    </row>
    <row r="3" spans="1:21" ht="5.0999999999999996" customHeight="1">
      <c r="A3" s="46"/>
      <c r="B3" s="46"/>
      <c r="C3" s="46"/>
      <c r="D3" s="46"/>
      <c r="E3" s="46"/>
      <c r="F3" s="46"/>
      <c r="G3" s="47"/>
      <c r="H3" s="46"/>
      <c r="I3" s="46"/>
      <c r="J3" s="46"/>
      <c r="K3" s="46"/>
      <c r="L3" s="46"/>
      <c r="M3" s="134"/>
      <c r="N3" s="51"/>
      <c r="O3" s="51"/>
      <c r="P3" s="46"/>
      <c r="Q3" s="46"/>
      <c r="R3" s="46"/>
      <c r="S3" s="46"/>
      <c r="T3" s="46"/>
      <c r="U3" s="46"/>
    </row>
    <row r="4" spans="1:21" s="54" customFormat="1" ht="24.95" customHeight="1">
      <c r="A4" s="107" t="s">
        <v>33</v>
      </c>
      <c r="B4" s="367" t="s">
        <v>170</v>
      </c>
      <c r="C4" s="391" t="s">
        <v>59</v>
      </c>
      <c r="D4" s="367" t="s">
        <v>60</v>
      </c>
      <c r="E4" s="393" t="s">
        <v>64</v>
      </c>
      <c r="F4" s="405" t="s">
        <v>63</v>
      </c>
      <c r="G4" s="405"/>
      <c r="H4" s="369" t="s">
        <v>36</v>
      </c>
      <c r="I4" s="369"/>
      <c r="J4" s="369" t="s">
        <v>37</v>
      </c>
      <c r="K4" s="369"/>
      <c r="L4" s="369"/>
      <c r="M4" s="398" t="s">
        <v>27</v>
      </c>
      <c r="N4" s="52"/>
      <c r="O4" s="52"/>
      <c r="P4" s="53"/>
      <c r="Q4" s="53"/>
      <c r="R4" s="53"/>
      <c r="S4" s="53"/>
      <c r="T4" s="53"/>
      <c r="U4" s="53"/>
    </row>
    <row r="5" spans="1:21" s="54" customFormat="1" ht="24.95" customHeight="1">
      <c r="A5" s="108" t="s">
        <v>38</v>
      </c>
      <c r="B5" s="368"/>
      <c r="C5" s="392"/>
      <c r="D5" s="368"/>
      <c r="E5" s="394"/>
      <c r="F5" s="136" t="s">
        <v>65</v>
      </c>
      <c r="G5" s="136" t="s">
        <v>44</v>
      </c>
      <c r="H5" s="110" t="s">
        <v>39</v>
      </c>
      <c r="I5" s="109" t="s">
        <v>40</v>
      </c>
      <c r="J5" s="110" t="s">
        <v>39</v>
      </c>
      <c r="K5" s="110" t="s">
        <v>40</v>
      </c>
      <c r="L5" s="109" t="s">
        <v>54</v>
      </c>
      <c r="M5" s="399"/>
      <c r="N5" s="55"/>
      <c r="O5" s="55"/>
      <c r="P5" s="56"/>
      <c r="Q5" s="56" t="s">
        <v>65</v>
      </c>
      <c r="R5" s="56"/>
      <c r="S5" s="56"/>
      <c r="T5" s="56"/>
      <c r="U5" s="57"/>
    </row>
    <row r="6" spans="1:21" s="204" customFormat="1" ht="24.95" customHeight="1">
      <c r="A6" s="166"/>
      <c r="B6" s="223" t="s">
        <v>288</v>
      </c>
      <c r="C6" s="198" t="s">
        <v>297</v>
      </c>
      <c r="D6" s="199" t="s">
        <v>70</v>
      </c>
      <c r="E6" s="199">
        <v>5</v>
      </c>
      <c r="F6" s="199">
        <v>0</v>
      </c>
      <c r="G6" s="248">
        <v>5</v>
      </c>
      <c r="H6" s="199" t="s">
        <v>298</v>
      </c>
      <c r="I6" s="199"/>
      <c r="J6" s="200"/>
      <c r="K6" s="200"/>
      <c r="L6" s="200"/>
      <c r="M6" s="201"/>
      <c r="N6" s="202"/>
      <c r="O6" s="152" t="str">
        <f t="shared" ref="O6:O27" si="0">CONCATENATE(D6,H6)</f>
        <v>임구*재</v>
      </c>
      <c r="P6" s="153" t="str">
        <f t="shared" ref="P6:P24" si="1">IF(E6&gt;=G6,"-","err")</f>
        <v>-</v>
      </c>
      <c r="Q6" s="153" t="str">
        <f t="shared" ref="Q6:Q29" si="2">IF(F6=0,"1","2")</f>
        <v>1</v>
      </c>
      <c r="R6" s="203"/>
      <c r="S6" s="203"/>
      <c r="T6" s="203"/>
      <c r="U6" s="203"/>
    </row>
    <row r="7" spans="1:21" s="140" customFormat="1" ht="24.95" customHeight="1">
      <c r="A7" s="254"/>
      <c r="B7" s="111" t="s">
        <v>288</v>
      </c>
      <c r="C7" s="122" t="s">
        <v>71</v>
      </c>
      <c r="D7" s="112" t="s">
        <v>72</v>
      </c>
      <c r="E7" s="112">
        <v>198</v>
      </c>
      <c r="F7" s="112">
        <v>16</v>
      </c>
      <c r="G7" s="113">
        <v>26</v>
      </c>
      <c r="H7" s="112" t="s">
        <v>87</v>
      </c>
      <c r="I7" s="112" t="s">
        <v>88</v>
      </c>
      <c r="J7" s="114"/>
      <c r="K7" s="114"/>
      <c r="L7" s="114"/>
      <c r="M7" s="115"/>
      <c r="N7" s="138"/>
      <c r="O7" s="174" t="str">
        <f t="shared" si="0"/>
        <v>도국</v>
      </c>
      <c r="P7" s="175" t="str">
        <f t="shared" si="1"/>
        <v>-</v>
      </c>
      <c r="Q7" s="175" t="str">
        <f t="shared" si="2"/>
        <v>2</v>
      </c>
      <c r="R7" s="139"/>
      <c r="S7" s="139"/>
      <c r="T7" s="139"/>
      <c r="U7" s="139"/>
    </row>
    <row r="8" spans="1:21" s="204" customFormat="1" ht="24.95" customHeight="1">
      <c r="A8" s="166"/>
      <c r="B8" s="223" t="s">
        <v>288</v>
      </c>
      <c r="C8" s="198" t="s">
        <v>294</v>
      </c>
      <c r="D8" s="199" t="s">
        <v>70</v>
      </c>
      <c r="E8" s="199">
        <v>10</v>
      </c>
      <c r="F8" s="199">
        <v>0</v>
      </c>
      <c r="G8" s="247">
        <v>10</v>
      </c>
      <c r="H8" s="199" t="s">
        <v>295</v>
      </c>
      <c r="I8" s="199" t="s">
        <v>296</v>
      </c>
      <c r="J8" s="200"/>
      <c r="K8" s="200"/>
      <c r="L8" s="200"/>
      <c r="M8" s="201"/>
      <c r="N8" s="202"/>
      <c r="O8" s="152" t="str">
        <f t="shared" si="0"/>
        <v>임이*관</v>
      </c>
      <c r="P8" s="153" t="str">
        <f t="shared" si="1"/>
        <v>-</v>
      </c>
      <c r="Q8" s="153" t="str">
        <f t="shared" si="2"/>
        <v>1</v>
      </c>
      <c r="R8" s="203"/>
      <c r="S8" s="203"/>
      <c r="T8" s="203"/>
      <c r="U8" s="203"/>
    </row>
    <row r="9" spans="1:21" s="62" customFormat="1" ht="24.95" customHeight="1">
      <c r="A9" s="160"/>
      <c r="B9" s="111" t="s">
        <v>44</v>
      </c>
      <c r="C9" s="122" t="s">
        <v>73</v>
      </c>
      <c r="D9" s="112" t="s">
        <v>72</v>
      </c>
      <c r="E9" s="112">
        <v>764</v>
      </c>
      <c r="F9" s="112">
        <v>764</v>
      </c>
      <c r="G9" s="135">
        <v>418</v>
      </c>
      <c r="H9" s="112" t="s">
        <v>87</v>
      </c>
      <c r="I9" s="112" t="s">
        <v>88</v>
      </c>
      <c r="J9" s="114"/>
      <c r="K9" s="114"/>
      <c r="L9" s="114"/>
      <c r="M9" s="115"/>
      <c r="N9" s="60"/>
      <c r="O9" s="174" t="str">
        <f t="shared" si="0"/>
        <v>도국</v>
      </c>
      <c r="P9" s="175" t="str">
        <f t="shared" si="1"/>
        <v>-</v>
      </c>
      <c r="Q9" s="175" t="str">
        <f t="shared" si="2"/>
        <v>2</v>
      </c>
      <c r="R9" s="61"/>
      <c r="S9" s="61"/>
      <c r="T9" s="61"/>
      <c r="U9" s="61"/>
    </row>
    <row r="10" spans="1:21" s="62" customFormat="1" ht="24.95" customHeight="1">
      <c r="A10" s="160"/>
      <c r="B10" s="111" t="s">
        <v>44</v>
      </c>
      <c r="C10" s="122" t="s">
        <v>74</v>
      </c>
      <c r="D10" s="112" t="s">
        <v>72</v>
      </c>
      <c r="E10" s="112">
        <v>90</v>
      </c>
      <c r="F10" s="112">
        <v>90</v>
      </c>
      <c r="G10" s="135">
        <v>90</v>
      </c>
      <c r="H10" s="112" t="s">
        <v>89</v>
      </c>
      <c r="I10" s="112" t="s">
        <v>90</v>
      </c>
      <c r="J10" s="114"/>
      <c r="K10" s="114"/>
      <c r="L10" s="114"/>
      <c r="M10" s="115"/>
      <c r="N10" s="60"/>
      <c r="O10" s="174" t="str">
        <f t="shared" si="0"/>
        <v>도공</v>
      </c>
      <c r="P10" s="175" t="str">
        <f t="shared" si="1"/>
        <v>-</v>
      </c>
      <c r="Q10" s="175" t="str">
        <f t="shared" si="2"/>
        <v>2</v>
      </c>
      <c r="R10" s="61"/>
      <c r="S10" s="61"/>
      <c r="T10" s="61"/>
      <c r="U10" s="61"/>
    </row>
    <row r="11" spans="1:21" s="62" customFormat="1" ht="24.95" customHeight="1">
      <c r="A11" s="160"/>
      <c r="B11" s="111" t="s">
        <v>44</v>
      </c>
      <c r="C11" s="122" t="s">
        <v>75</v>
      </c>
      <c r="D11" s="112" t="s">
        <v>72</v>
      </c>
      <c r="E11" s="112">
        <v>1518</v>
      </c>
      <c r="F11" s="112">
        <v>744</v>
      </c>
      <c r="G11" s="135">
        <v>1408</v>
      </c>
      <c r="H11" s="112" t="s">
        <v>87</v>
      </c>
      <c r="I11" s="112" t="s">
        <v>88</v>
      </c>
      <c r="J11" s="145"/>
      <c r="K11" s="145"/>
      <c r="L11" s="145"/>
      <c r="M11" s="115"/>
      <c r="N11" s="60"/>
      <c r="O11" s="174" t="str">
        <f t="shared" si="0"/>
        <v>도국</v>
      </c>
      <c r="P11" s="175" t="str">
        <f t="shared" si="1"/>
        <v>-</v>
      </c>
      <c r="Q11" s="175" t="str">
        <f t="shared" si="2"/>
        <v>2</v>
      </c>
      <c r="R11" s="61"/>
      <c r="S11" s="61"/>
      <c r="T11" s="61"/>
      <c r="U11" s="61"/>
    </row>
    <row r="12" spans="1:21" s="204" customFormat="1" ht="24.95" customHeight="1">
      <c r="A12" s="166"/>
      <c r="B12" s="223" t="s">
        <v>44</v>
      </c>
      <c r="C12" s="198" t="s">
        <v>166</v>
      </c>
      <c r="D12" s="199" t="s">
        <v>72</v>
      </c>
      <c r="E12" s="199">
        <v>9</v>
      </c>
      <c r="F12" s="199">
        <v>9</v>
      </c>
      <c r="G12" s="199">
        <v>9</v>
      </c>
      <c r="H12" s="199" t="s">
        <v>143</v>
      </c>
      <c r="I12" s="199" t="s">
        <v>144</v>
      </c>
      <c r="J12" s="200"/>
      <c r="K12" s="200"/>
      <c r="L12" s="200"/>
      <c r="M12" s="201"/>
      <c r="N12" s="202"/>
      <c r="O12" s="152" t="str">
        <f t="shared" si="0"/>
        <v>도방*준</v>
      </c>
      <c r="P12" s="153" t="str">
        <f t="shared" si="1"/>
        <v>-</v>
      </c>
      <c r="Q12" s="153" t="str">
        <f t="shared" si="2"/>
        <v>2</v>
      </c>
      <c r="R12" s="203"/>
      <c r="S12" s="203"/>
      <c r="T12" s="203"/>
      <c r="U12" s="203"/>
    </row>
    <row r="13" spans="1:21" s="62" customFormat="1" ht="24.95" customHeight="1">
      <c r="A13" s="160"/>
      <c r="B13" s="111" t="s">
        <v>44</v>
      </c>
      <c r="C13" s="122" t="s">
        <v>76</v>
      </c>
      <c r="D13" s="112" t="s">
        <v>72</v>
      </c>
      <c r="E13" s="112">
        <v>77</v>
      </c>
      <c r="F13" s="112">
        <v>77</v>
      </c>
      <c r="G13" s="112">
        <v>41</v>
      </c>
      <c r="H13" s="112" t="s">
        <v>89</v>
      </c>
      <c r="I13" s="112" t="s">
        <v>91</v>
      </c>
      <c r="J13" s="114"/>
      <c r="K13" s="114"/>
      <c r="L13" s="114"/>
      <c r="M13" s="115"/>
      <c r="N13" s="60"/>
      <c r="O13" s="174" t="str">
        <f t="shared" si="0"/>
        <v>도공</v>
      </c>
      <c r="P13" s="175" t="str">
        <f t="shared" si="1"/>
        <v>-</v>
      </c>
      <c r="Q13" s="175" t="str">
        <f t="shared" si="2"/>
        <v>2</v>
      </c>
      <c r="R13" s="61"/>
      <c r="S13" s="61"/>
      <c r="T13" s="61"/>
      <c r="U13" s="61"/>
    </row>
    <row r="14" spans="1:21" s="204" customFormat="1" ht="24.95" customHeight="1">
      <c r="A14" s="166"/>
      <c r="B14" s="223" t="s">
        <v>288</v>
      </c>
      <c r="C14" s="198" t="s">
        <v>292</v>
      </c>
      <c r="D14" s="199" t="s">
        <v>5</v>
      </c>
      <c r="E14" s="199">
        <v>60</v>
      </c>
      <c r="F14" s="199">
        <v>0</v>
      </c>
      <c r="G14" s="199">
        <v>60</v>
      </c>
      <c r="H14" s="199" t="s">
        <v>293</v>
      </c>
      <c r="I14" s="199" t="s">
        <v>291</v>
      </c>
      <c r="J14" s="200"/>
      <c r="K14" s="200"/>
      <c r="L14" s="200"/>
      <c r="M14" s="201"/>
      <c r="N14" s="202"/>
      <c r="O14" s="152" t="str">
        <f t="shared" si="0"/>
        <v>전김*섭</v>
      </c>
      <c r="P14" s="153" t="str">
        <f t="shared" si="1"/>
        <v>-</v>
      </c>
      <c r="Q14" s="153" t="str">
        <f t="shared" si="2"/>
        <v>1</v>
      </c>
      <c r="R14" s="203"/>
      <c r="S14" s="203"/>
      <c r="T14" s="203"/>
      <c r="U14" s="203"/>
    </row>
    <row r="15" spans="1:21" s="204" customFormat="1" ht="24.95" customHeight="1">
      <c r="A15" s="166"/>
      <c r="B15" s="223" t="s">
        <v>44</v>
      </c>
      <c r="C15" s="198" t="s">
        <v>167</v>
      </c>
      <c r="D15" s="199" t="s">
        <v>6</v>
      </c>
      <c r="E15" s="199">
        <v>57</v>
      </c>
      <c r="F15" s="199">
        <v>0</v>
      </c>
      <c r="G15" s="199">
        <v>57</v>
      </c>
      <c r="H15" s="199" t="s">
        <v>154</v>
      </c>
      <c r="I15" s="246" t="s">
        <v>159</v>
      </c>
      <c r="J15" s="205"/>
      <c r="K15" s="200"/>
      <c r="L15" s="200"/>
      <c r="M15" s="201"/>
      <c r="N15" s="202"/>
      <c r="O15" s="152" t="str">
        <f t="shared" si="0"/>
        <v>답구*철</v>
      </c>
      <c r="P15" s="153" t="str">
        <f t="shared" si="1"/>
        <v>-</v>
      </c>
      <c r="Q15" s="153" t="str">
        <f t="shared" si="2"/>
        <v>1</v>
      </c>
      <c r="R15" s="203"/>
      <c r="S15" s="203"/>
      <c r="T15" s="203"/>
      <c r="U15" s="203"/>
    </row>
    <row r="16" spans="1:21" s="204" customFormat="1" ht="24.95" customHeight="1">
      <c r="A16" s="166"/>
      <c r="B16" s="223" t="s">
        <v>44</v>
      </c>
      <c r="C16" s="206" t="s">
        <v>168</v>
      </c>
      <c r="D16" s="199" t="s">
        <v>77</v>
      </c>
      <c r="E16" s="199">
        <v>7</v>
      </c>
      <c r="F16" s="199">
        <v>0</v>
      </c>
      <c r="G16" s="199">
        <v>7</v>
      </c>
      <c r="H16" s="199" t="s">
        <v>155</v>
      </c>
      <c r="I16" s="199" t="s">
        <v>156</v>
      </c>
      <c r="J16" s="200" t="s">
        <v>130</v>
      </c>
      <c r="K16" s="200" t="s">
        <v>147</v>
      </c>
      <c r="L16" s="200" t="s">
        <v>129</v>
      </c>
      <c r="M16" s="201"/>
      <c r="N16" s="202"/>
      <c r="O16" s="152" t="str">
        <f t="shared" si="0"/>
        <v>대차*례</v>
      </c>
      <c r="P16" s="153" t="str">
        <f t="shared" si="1"/>
        <v>-</v>
      </c>
      <c r="Q16" s="153" t="str">
        <f t="shared" si="2"/>
        <v>1</v>
      </c>
      <c r="R16" s="203"/>
      <c r="S16" s="203"/>
      <c r="T16" s="203"/>
      <c r="U16" s="203"/>
    </row>
    <row r="17" spans="1:77" s="62" customFormat="1" ht="24.95" customHeight="1">
      <c r="A17" s="160"/>
      <c r="B17" s="111" t="s">
        <v>44</v>
      </c>
      <c r="C17" s="130" t="s">
        <v>78</v>
      </c>
      <c r="D17" s="112" t="s">
        <v>79</v>
      </c>
      <c r="E17" s="112">
        <v>74</v>
      </c>
      <c r="F17" s="112">
        <v>0</v>
      </c>
      <c r="G17" s="112">
        <v>47</v>
      </c>
      <c r="H17" s="112" t="s">
        <v>87</v>
      </c>
      <c r="I17" s="112" t="s">
        <v>88</v>
      </c>
      <c r="J17" s="114"/>
      <c r="K17" s="114"/>
      <c r="L17" s="114"/>
      <c r="M17" s="115"/>
      <c r="N17" s="60"/>
      <c r="O17" s="174" t="str">
        <f t="shared" si="0"/>
        <v>유국</v>
      </c>
      <c r="P17" s="175" t="str">
        <f t="shared" si="1"/>
        <v>-</v>
      </c>
      <c r="Q17" s="175" t="str">
        <f t="shared" si="2"/>
        <v>1</v>
      </c>
      <c r="R17" s="61"/>
      <c r="S17" s="61"/>
      <c r="T17" s="61"/>
      <c r="U17" s="61"/>
    </row>
    <row r="18" spans="1:77" s="144" customFormat="1" ht="24.95" customHeight="1">
      <c r="A18" s="160"/>
      <c r="B18" s="111" t="s">
        <v>44</v>
      </c>
      <c r="C18" s="122" t="s">
        <v>80</v>
      </c>
      <c r="D18" s="112" t="s">
        <v>72</v>
      </c>
      <c r="E18" s="112">
        <v>78</v>
      </c>
      <c r="F18" s="112">
        <v>78</v>
      </c>
      <c r="G18" s="112">
        <v>32</v>
      </c>
      <c r="H18" s="112" t="s">
        <v>87</v>
      </c>
      <c r="I18" s="112" t="s">
        <v>88</v>
      </c>
      <c r="J18" s="114"/>
      <c r="K18" s="114"/>
      <c r="L18" s="114"/>
      <c r="M18" s="115"/>
      <c r="N18" s="142"/>
      <c r="O18" s="251" t="str">
        <f t="shared" si="0"/>
        <v>도국</v>
      </c>
      <c r="P18" s="252" t="str">
        <f t="shared" si="1"/>
        <v>-</v>
      </c>
      <c r="Q18" s="252" t="str">
        <f t="shared" si="2"/>
        <v>2</v>
      </c>
      <c r="R18" s="132"/>
      <c r="S18" s="132"/>
      <c r="T18" s="132"/>
      <c r="U18" s="143"/>
    </row>
    <row r="19" spans="1:77" s="62" customFormat="1" ht="24.95" customHeight="1">
      <c r="A19" s="160"/>
      <c r="B19" s="111" t="s">
        <v>44</v>
      </c>
      <c r="C19" s="130" t="s">
        <v>81</v>
      </c>
      <c r="D19" s="112" t="s">
        <v>82</v>
      </c>
      <c r="E19" s="112">
        <v>10750</v>
      </c>
      <c r="F19" s="112">
        <v>36</v>
      </c>
      <c r="G19" s="112">
        <v>487</v>
      </c>
      <c r="H19" s="112" t="s">
        <v>87</v>
      </c>
      <c r="I19" s="112" t="s">
        <v>88</v>
      </c>
      <c r="J19" s="114"/>
      <c r="K19" s="114"/>
      <c r="L19" s="114"/>
      <c r="M19" s="115"/>
      <c r="N19" s="60"/>
      <c r="O19" s="174" t="str">
        <f t="shared" si="0"/>
        <v>구국</v>
      </c>
      <c r="P19" s="175" t="str">
        <f t="shared" si="1"/>
        <v>-</v>
      </c>
      <c r="Q19" s="175" t="str">
        <f t="shared" si="2"/>
        <v>2</v>
      </c>
      <c r="R19" s="61"/>
      <c r="S19" s="61"/>
      <c r="T19" s="61"/>
      <c r="U19" s="61"/>
    </row>
    <row r="20" spans="1:77" s="133" customFormat="1" ht="24.95" customHeight="1">
      <c r="A20" s="160"/>
      <c r="B20" s="111" t="s">
        <v>44</v>
      </c>
      <c r="C20" s="130" t="s">
        <v>83</v>
      </c>
      <c r="D20" s="112" t="s">
        <v>72</v>
      </c>
      <c r="E20" s="112">
        <v>5929</v>
      </c>
      <c r="F20" s="112">
        <v>0</v>
      </c>
      <c r="G20" s="112">
        <v>187</v>
      </c>
      <c r="H20" s="112" t="s">
        <v>87</v>
      </c>
      <c r="I20" s="112" t="s">
        <v>88</v>
      </c>
      <c r="J20" s="114"/>
      <c r="K20" s="114"/>
      <c r="L20" s="114"/>
      <c r="M20" s="115"/>
      <c r="N20" s="131"/>
      <c r="O20" s="152" t="str">
        <f t="shared" si="0"/>
        <v>도국</v>
      </c>
      <c r="P20" s="153" t="str">
        <f t="shared" si="1"/>
        <v>-</v>
      </c>
      <c r="Q20" s="153" t="str">
        <f t="shared" si="2"/>
        <v>1</v>
      </c>
      <c r="R20" s="132"/>
      <c r="S20" s="132"/>
      <c r="T20" s="132"/>
      <c r="U20" s="132"/>
    </row>
    <row r="21" spans="1:77" s="62" customFormat="1" ht="24.95" customHeight="1">
      <c r="A21" s="160"/>
      <c r="B21" s="111" t="s">
        <v>44</v>
      </c>
      <c r="C21" s="130" t="s">
        <v>84</v>
      </c>
      <c r="D21" s="112" t="s">
        <v>72</v>
      </c>
      <c r="E21" s="112">
        <v>1858</v>
      </c>
      <c r="F21" s="112">
        <v>0</v>
      </c>
      <c r="G21" s="112">
        <v>10</v>
      </c>
      <c r="H21" s="112" t="s">
        <v>87</v>
      </c>
      <c r="I21" s="112" t="s">
        <v>88</v>
      </c>
      <c r="J21" s="114"/>
      <c r="K21" s="114"/>
      <c r="L21" s="114"/>
      <c r="M21" s="115"/>
      <c r="N21" s="60"/>
      <c r="O21" s="174" t="str">
        <f t="shared" si="0"/>
        <v>도국</v>
      </c>
      <c r="P21" s="175" t="str">
        <f t="shared" si="1"/>
        <v>-</v>
      </c>
      <c r="Q21" s="175" t="str">
        <f t="shared" si="2"/>
        <v>1</v>
      </c>
      <c r="R21" s="61"/>
      <c r="S21" s="61"/>
      <c r="T21" s="61"/>
      <c r="U21" s="61"/>
    </row>
    <row r="22" spans="1:77" s="204" customFormat="1" ht="24.95" customHeight="1">
      <c r="A22" s="166"/>
      <c r="B22" s="223" t="s">
        <v>44</v>
      </c>
      <c r="C22" s="206" t="s">
        <v>165</v>
      </c>
      <c r="D22" s="199" t="s">
        <v>6</v>
      </c>
      <c r="E22" s="199">
        <v>459</v>
      </c>
      <c r="F22" s="199">
        <v>0</v>
      </c>
      <c r="G22" s="199">
        <v>459</v>
      </c>
      <c r="H22" s="199" t="s">
        <v>87</v>
      </c>
      <c r="I22" s="199" t="s">
        <v>92</v>
      </c>
      <c r="J22" s="200"/>
      <c r="K22" s="200"/>
      <c r="L22" s="200"/>
      <c r="M22" s="201"/>
      <c r="N22" s="202"/>
      <c r="O22" s="152" t="str">
        <f t="shared" si="0"/>
        <v>답국</v>
      </c>
      <c r="P22" s="153" t="str">
        <f t="shared" si="1"/>
        <v>-</v>
      </c>
      <c r="Q22" s="153" t="str">
        <f t="shared" si="2"/>
        <v>1</v>
      </c>
      <c r="R22" s="203"/>
      <c r="S22" s="203"/>
      <c r="T22" s="203"/>
      <c r="U22" s="203"/>
    </row>
    <row r="23" spans="1:77" s="62" customFormat="1" ht="24.95" customHeight="1">
      <c r="A23" s="160"/>
      <c r="B23" s="111" t="s">
        <v>44</v>
      </c>
      <c r="C23" s="130" t="s">
        <v>85</v>
      </c>
      <c r="D23" s="112" t="s">
        <v>82</v>
      </c>
      <c r="E23" s="112">
        <v>939</v>
      </c>
      <c r="F23" s="112">
        <v>0</v>
      </c>
      <c r="G23" s="112">
        <v>939</v>
      </c>
      <c r="H23" s="112" t="s">
        <v>87</v>
      </c>
      <c r="I23" s="112" t="s">
        <v>88</v>
      </c>
      <c r="J23" s="114"/>
      <c r="K23" s="114"/>
      <c r="L23" s="114"/>
      <c r="M23" s="115"/>
      <c r="N23" s="60"/>
      <c r="O23" s="174" t="str">
        <f t="shared" si="0"/>
        <v>구국</v>
      </c>
      <c r="P23" s="175" t="str">
        <f t="shared" si="1"/>
        <v>-</v>
      </c>
      <c r="Q23" s="175" t="str">
        <f t="shared" si="2"/>
        <v>1</v>
      </c>
      <c r="R23" s="61"/>
      <c r="S23" s="61"/>
      <c r="T23" s="61"/>
      <c r="U23" s="61"/>
    </row>
    <row r="24" spans="1:77" s="62" customFormat="1" ht="24.95" customHeight="1">
      <c r="A24" s="160"/>
      <c r="B24" s="111" t="s">
        <v>44</v>
      </c>
      <c r="C24" s="130" t="s">
        <v>86</v>
      </c>
      <c r="D24" s="112" t="s">
        <v>72</v>
      </c>
      <c r="E24" s="112">
        <v>1919</v>
      </c>
      <c r="F24" s="112">
        <v>0</v>
      </c>
      <c r="G24" s="112">
        <v>51</v>
      </c>
      <c r="H24" s="112" t="s">
        <v>87</v>
      </c>
      <c r="I24" s="112" t="s">
        <v>88</v>
      </c>
      <c r="J24" s="114"/>
      <c r="K24" s="114"/>
      <c r="L24" s="114"/>
      <c r="M24" s="115"/>
      <c r="N24" s="60"/>
      <c r="O24" s="174" t="str">
        <f t="shared" si="0"/>
        <v>도국</v>
      </c>
      <c r="P24" s="175" t="str">
        <f t="shared" si="1"/>
        <v>-</v>
      </c>
      <c r="Q24" s="175" t="str">
        <f t="shared" si="2"/>
        <v>1</v>
      </c>
      <c r="R24" s="61"/>
      <c r="S24" s="61"/>
      <c r="T24" s="61"/>
      <c r="U24" s="61"/>
    </row>
    <row r="25" spans="1:77" s="140" customFormat="1" ht="24.95" customHeight="1">
      <c r="A25" s="166"/>
      <c r="B25" s="223" t="s">
        <v>288</v>
      </c>
      <c r="C25" s="206" t="s">
        <v>289</v>
      </c>
      <c r="D25" s="199" t="s">
        <v>6</v>
      </c>
      <c r="E25" s="199">
        <v>459</v>
      </c>
      <c r="F25" s="199">
        <v>0</v>
      </c>
      <c r="G25" s="199">
        <v>459</v>
      </c>
      <c r="H25" s="199" t="s">
        <v>290</v>
      </c>
      <c r="I25" s="199" t="s">
        <v>291</v>
      </c>
      <c r="J25" s="200"/>
      <c r="K25" s="200"/>
      <c r="L25" s="200"/>
      <c r="M25" s="201"/>
      <c r="N25" s="138"/>
      <c r="O25" s="138" t="str">
        <f t="shared" si="0"/>
        <v>답구*회</v>
      </c>
      <c r="P25" s="139" t="str">
        <f>IF(E25&gt;=G25,"-","err")</f>
        <v>-</v>
      </c>
      <c r="Q25" s="139" t="str">
        <f t="shared" si="2"/>
        <v>1</v>
      </c>
      <c r="R25" s="139"/>
      <c r="S25" s="139"/>
      <c r="T25" s="139"/>
      <c r="U25" s="139"/>
    </row>
    <row r="26" spans="1:77" s="62" customFormat="1" ht="24.95" customHeight="1">
      <c r="A26" s="111"/>
      <c r="B26" s="111"/>
      <c r="C26" s="130"/>
      <c r="D26" s="112"/>
      <c r="E26" s="112"/>
      <c r="F26" s="112"/>
      <c r="G26" s="112"/>
      <c r="H26" s="112"/>
      <c r="I26" s="112"/>
      <c r="J26" s="114"/>
      <c r="K26" s="114"/>
      <c r="L26" s="114"/>
      <c r="M26" s="115"/>
      <c r="N26" s="60"/>
      <c r="O26" s="60" t="str">
        <f t="shared" si="0"/>
        <v/>
      </c>
      <c r="P26" s="61" t="str">
        <f>IF(E26&gt;=G26,"-","err")</f>
        <v>-</v>
      </c>
      <c r="Q26" s="61" t="str">
        <f t="shared" si="2"/>
        <v>1</v>
      </c>
      <c r="R26" s="61"/>
      <c r="S26" s="61"/>
      <c r="T26" s="61"/>
      <c r="U26" s="61"/>
    </row>
    <row r="27" spans="1:77" s="62" customFormat="1" ht="24.95" customHeight="1">
      <c r="A27" s="111"/>
      <c r="B27" s="111"/>
      <c r="C27" s="130"/>
      <c r="D27" s="112"/>
      <c r="E27" s="112"/>
      <c r="F27" s="112"/>
      <c r="G27" s="112"/>
      <c r="H27" s="112"/>
      <c r="I27" s="112"/>
      <c r="J27" s="114"/>
      <c r="K27" s="114"/>
      <c r="L27" s="114"/>
      <c r="M27" s="115"/>
      <c r="N27" s="60"/>
      <c r="O27" s="60" t="str">
        <f t="shared" si="0"/>
        <v/>
      </c>
      <c r="P27" s="61" t="str">
        <f>IF(E27&gt;=G27,"-","err")</f>
        <v>-</v>
      </c>
      <c r="Q27" s="61" t="str">
        <f t="shared" si="2"/>
        <v>1</v>
      </c>
      <c r="R27" s="61"/>
      <c r="S27" s="61"/>
      <c r="T27" s="61"/>
      <c r="U27" s="61"/>
    </row>
    <row r="28" spans="1:77" s="62" customFormat="1" ht="24.95" customHeight="1">
      <c r="A28" s="111"/>
      <c r="B28" s="111"/>
      <c r="C28" s="130"/>
      <c r="D28" s="112"/>
      <c r="E28" s="112"/>
      <c r="F28" s="112"/>
      <c r="G28" s="112"/>
      <c r="H28" s="112"/>
      <c r="I28" s="112"/>
      <c r="J28" s="114"/>
      <c r="K28" s="114"/>
      <c r="L28" s="114"/>
      <c r="M28" s="115"/>
      <c r="N28" s="60"/>
      <c r="O28" s="60" t="str">
        <f t="shared" ref="O28:O111" si="3">CONCATENATE(D28,H28)</f>
        <v/>
      </c>
      <c r="P28" s="61" t="str">
        <f>IF(E28&gt;=G28,"-","err")</f>
        <v>-</v>
      </c>
      <c r="Q28" s="61" t="str">
        <f t="shared" si="2"/>
        <v>1</v>
      </c>
      <c r="R28" s="61"/>
      <c r="S28" s="61"/>
      <c r="T28" s="61"/>
      <c r="U28" s="61"/>
    </row>
    <row r="29" spans="1:77" s="62" customFormat="1" ht="24.95" customHeight="1">
      <c r="A29" s="111"/>
      <c r="B29" s="111"/>
      <c r="C29" s="130"/>
      <c r="D29" s="112"/>
      <c r="E29" s="112"/>
      <c r="F29" s="112"/>
      <c r="G29" s="112"/>
      <c r="H29" s="112"/>
      <c r="I29" s="112"/>
      <c r="J29" s="114"/>
      <c r="K29" s="114"/>
      <c r="L29" s="114"/>
      <c r="M29" s="115"/>
      <c r="N29" s="60"/>
      <c r="O29" s="60" t="str">
        <f t="shared" si="3"/>
        <v/>
      </c>
      <c r="P29" s="61" t="str">
        <f>IF(E29&gt;=G29,"-","err")</f>
        <v>-</v>
      </c>
      <c r="Q29" s="61" t="str">
        <f t="shared" si="2"/>
        <v>1</v>
      </c>
      <c r="R29" s="61"/>
      <c r="S29" s="61"/>
      <c r="T29" s="61"/>
      <c r="U29" s="61"/>
    </row>
    <row r="30" spans="1:77" s="73" customFormat="1" ht="24.95" hidden="1" customHeight="1">
      <c r="A30" s="117" t="s">
        <v>41</v>
      </c>
      <c r="B30" s="117"/>
      <c r="C30" s="117"/>
      <c r="D30" s="118"/>
      <c r="E30" s="119"/>
      <c r="F30" s="119">
        <f>SUM(F6:F29)</f>
        <v>1814</v>
      </c>
      <c r="G30" s="119">
        <f>SUM(G6:G29)</f>
        <v>4802</v>
      </c>
      <c r="H30" s="120"/>
      <c r="I30" s="120"/>
      <c r="J30" s="120"/>
      <c r="K30" s="120"/>
      <c r="L30" s="120"/>
      <c r="M30" s="121"/>
      <c r="N30" s="60"/>
      <c r="O30" s="60" t="str">
        <f t="shared" si="3"/>
        <v/>
      </c>
      <c r="P30" s="61"/>
      <c r="Q30" s="61"/>
      <c r="R30" s="61"/>
      <c r="S30" s="61"/>
      <c r="T30" s="61"/>
      <c r="U30" s="61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</row>
    <row r="31" spans="1:77" s="62" customFormat="1" ht="24.95" customHeight="1">
      <c r="A31" s="111"/>
      <c r="B31" s="111"/>
      <c r="C31" s="130"/>
      <c r="D31" s="112"/>
      <c r="E31" s="112"/>
      <c r="F31" s="112"/>
      <c r="G31" s="112"/>
      <c r="H31" s="112"/>
      <c r="I31" s="112"/>
      <c r="J31" s="114"/>
      <c r="K31" s="114"/>
      <c r="L31" s="114"/>
      <c r="M31" s="115"/>
      <c r="N31" s="60"/>
      <c r="O31" s="60" t="str">
        <f t="shared" si="3"/>
        <v/>
      </c>
      <c r="P31" s="61" t="str">
        <f t="shared" ref="P31:P47" si="4">IF(E31&gt;=G31,"-","err")</f>
        <v>-</v>
      </c>
      <c r="Q31" s="61" t="str">
        <f t="shared" ref="Q31:Q47" si="5">IF(F31=0,"1","2")</f>
        <v>1</v>
      </c>
      <c r="R31" s="61"/>
      <c r="S31" s="61"/>
      <c r="T31" s="61"/>
      <c r="U31" s="61"/>
    </row>
    <row r="32" spans="1:77" s="62" customFormat="1" ht="24.95" customHeight="1">
      <c r="A32" s="111"/>
      <c r="B32" s="111"/>
      <c r="C32" s="130"/>
      <c r="D32" s="112"/>
      <c r="E32" s="112"/>
      <c r="F32" s="112"/>
      <c r="G32" s="112"/>
      <c r="H32" s="112"/>
      <c r="I32" s="112"/>
      <c r="J32" s="114"/>
      <c r="K32" s="114"/>
      <c r="L32" s="114"/>
      <c r="M32" s="115"/>
      <c r="N32" s="60"/>
      <c r="O32" s="60" t="str">
        <f t="shared" si="3"/>
        <v/>
      </c>
      <c r="P32" s="61" t="str">
        <f t="shared" si="4"/>
        <v>-</v>
      </c>
      <c r="Q32" s="61" t="str">
        <f t="shared" si="5"/>
        <v>1</v>
      </c>
      <c r="R32" s="61"/>
      <c r="S32" s="61"/>
      <c r="T32" s="61"/>
      <c r="U32" s="61"/>
    </row>
    <row r="33" spans="1:77" s="62" customFormat="1" ht="24.95" customHeight="1">
      <c r="A33" s="111"/>
      <c r="B33" s="111"/>
      <c r="C33" s="130"/>
      <c r="D33" s="112"/>
      <c r="E33" s="112"/>
      <c r="F33" s="112"/>
      <c r="G33" s="112"/>
      <c r="H33" s="112"/>
      <c r="I33" s="112"/>
      <c r="J33" s="114"/>
      <c r="K33" s="114"/>
      <c r="L33" s="114"/>
      <c r="M33" s="115"/>
      <c r="N33" s="60"/>
      <c r="O33" s="60" t="str">
        <f t="shared" si="3"/>
        <v/>
      </c>
      <c r="P33" s="61" t="str">
        <f t="shared" si="4"/>
        <v>-</v>
      </c>
      <c r="Q33" s="61" t="str">
        <f t="shared" si="5"/>
        <v>1</v>
      </c>
      <c r="R33" s="61"/>
      <c r="S33" s="61"/>
      <c r="T33" s="61"/>
      <c r="U33" s="61"/>
    </row>
    <row r="34" spans="1:77" s="62" customFormat="1" ht="24.95" customHeight="1">
      <c r="A34" s="111"/>
      <c r="B34" s="111"/>
      <c r="C34" s="130"/>
      <c r="D34" s="112"/>
      <c r="E34" s="112"/>
      <c r="F34" s="112"/>
      <c r="G34" s="112"/>
      <c r="H34" s="112"/>
      <c r="I34" s="112"/>
      <c r="J34" s="114"/>
      <c r="K34" s="114"/>
      <c r="L34" s="114"/>
      <c r="M34" s="115"/>
      <c r="N34" s="60"/>
      <c r="O34" s="60" t="str">
        <f t="shared" si="3"/>
        <v/>
      </c>
      <c r="P34" s="61" t="str">
        <f t="shared" si="4"/>
        <v>-</v>
      </c>
      <c r="Q34" s="61" t="str">
        <f t="shared" si="5"/>
        <v>1</v>
      </c>
      <c r="R34" s="61"/>
      <c r="S34" s="61"/>
      <c r="T34" s="61"/>
      <c r="U34" s="61"/>
    </row>
    <row r="35" spans="1:77" s="62" customFormat="1" ht="24.95" customHeight="1">
      <c r="A35" s="111"/>
      <c r="B35" s="111"/>
      <c r="C35" s="130"/>
      <c r="D35" s="112"/>
      <c r="E35" s="112"/>
      <c r="F35" s="112"/>
      <c r="G35" s="112"/>
      <c r="H35" s="112"/>
      <c r="I35" s="112"/>
      <c r="J35" s="114"/>
      <c r="K35" s="114"/>
      <c r="L35" s="114"/>
      <c r="M35" s="115"/>
      <c r="N35" s="60"/>
      <c r="O35" s="60" t="str">
        <f t="shared" si="3"/>
        <v/>
      </c>
      <c r="P35" s="61" t="str">
        <f t="shared" si="4"/>
        <v>-</v>
      </c>
      <c r="Q35" s="61" t="str">
        <f t="shared" si="5"/>
        <v>1</v>
      </c>
      <c r="R35" s="61"/>
      <c r="S35" s="61"/>
      <c r="T35" s="61"/>
      <c r="U35" s="61"/>
    </row>
    <row r="36" spans="1:77" s="62" customFormat="1" ht="24.95" customHeight="1">
      <c r="A36" s="111"/>
      <c r="B36" s="111"/>
      <c r="C36" s="130"/>
      <c r="D36" s="112"/>
      <c r="E36" s="112"/>
      <c r="F36" s="112"/>
      <c r="G36" s="113"/>
      <c r="H36" s="112"/>
      <c r="I36" s="112"/>
      <c r="J36" s="114"/>
      <c r="K36" s="114"/>
      <c r="L36" s="114"/>
      <c r="M36" s="115"/>
      <c r="N36" s="60"/>
      <c r="O36" s="60" t="str">
        <f t="shared" si="3"/>
        <v/>
      </c>
      <c r="P36" s="61" t="str">
        <f t="shared" si="4"/>
        <v>-</v>
      </c>
      <c r="Q36" s="61" t="str">
        <f t="shared" si="5"/>
        <v>1</v>
      </c>
      <c r="R36" s="61"/>
      <c r="S36" s="61"/>
      <c r="T36" s="61"/>
      <c r="U36" s="61"/>
    </row>
    <row r="37" spans="1:77" s="62" customFormat="1" ht="24.95" customHeight="1">
      <c r="A37" s="111"/>
      <c r="B37" s="111"/>
      <c r="C37" s="122"/>
      <c r="D37" s="112"/>
      <c r="E37" s="112"/>
      <c r="F37" s="112"/>
      <c r="G37" s="113"/>
      <c r="H37" s="112"/>
      <c r="I37" s="112"/>
      <c r="J37" s="114"/>
      <c r="K37" s="114"/>
      <c r="L37" s="114"/>
      <c r="M37" s="115"/>
      <c r="N37" s="60"/>
      <c r="O37" s="60" t="str">
        <f t="shared" si="3"/>
        <v/>
      </c>
      <c r="P37" s="61" t="str">
        <f t="shared" si="4"/>
        <v>-</v>
      </c>
      <c r="Q37" s="61" t="str">
        <f t="shared" si="5"/>
        <v>1</v>
      </c>
      <c r="R37" s="61"/>
      <c r="S37" s="61"/>
      <c r="T37" s="61"/>
      <c r="U37" s="61"/>
    </row>
    <row r="38" spans="1:77" s="62" customFormat="1" ht="24.95" customHeight="1">
      <c r="A38" s="111"/>
      <c r="B38" s="111"/>
      <c r="C38" s="130"/>
      <c r="D38" s="112"/>
      <c r="E38" s="112"/>
      <c r="F38" s="112"/>
      <c r="G38" s="112"/>
      <c r="H38" s="112"/>
      <c r="I38" s="112"/>
      <c r="J38" s="114"/>
      <c r="K38" s="114"/>
      <c r="L38" s="114"/>
      <c r="M38" s="115"/>
      <c r="N38" s="60"/>
      <c r="O38" s="60" t="str">
        <f t="shared" si="3"/>
        <v/>
      </c>
      <c r="P38" s="61" t="str">
        <f t="shared" si="4"/>
        <v>-</v>
      </c>
      <c r="Q38" s="61" t="str">
        <f t="shared" si="5"/>
        <v>1</v>
      </c>
      <c r="R38" s="61"/>
      <c r="S38" s="61"/>
      <c r="T38" s="61"/>
      <c r="U38" s="61"/>
    </row>
    <row r="39" spans="1:77" s="62" customFormat="1" ht="24.95" customHeight="1">
      <c r="A39" s="111"/>
      <c r="B39" s="111"/>
      <c r="C39" s="122"/>
      <c r="D39" s="112"/>
      <c r="E39" s="112"/>
      <c r="F39" s="112"/>
      <c r="G39" s="113"/>
      <c r="H39" s="112"/>
      <c r="I39" s="112"/>
      <c r="J39" s="114"/>
      <c r="K39" s="114"/>
      <c r="L39" s="114"/>
      <c r="M39" s="115"/>
      <c r="N39" s="60"/>
      <c r="O39" s="60" t="str">
        <f t="shared" si="3"/>
        <v/>
      </c>
      <c r="P39" s="61" t="str">
        <f t="shared" si="4"/>
        <v>-</v>
      </c>
      <c r="Q39" s="61" t="str">
        <f t="shared" si="5"/>
        <v>1</v>
      </c>
      <c r="R39" s="61"/>
      <c r="S39" s="61"/>
      <c r="T39" s="61"/>
      <c r="U39" s="61"/>
    </row>
    <row r="40" spans="1:77" s="62" customFormat="1" ht="24.95" customHeight="1">
      <c r="A40" s="111"/>
      <c r="B40" s="111"/>
      <c r="C40" s="122"/>
      <c r="D40" s="112"/>
      <c r="E40" s="112"/>
      <c r="F40" s="112"/>
      <c r="G40" s="113"/>
      <c r="H40" s="112"/>
      <c r="I40" s="112"/>
      <c r="J40" s="114"/>
      <c r="K40" s="114"/>
      <c r="L40" s="114"/>
      <c r="M40" s="115"/>
      <c r="N40" s="60"/>
      <c r="O40" s="60" t="str">
        <f t="shared" si="3"/>
        <v/>
      </c>
      <c r="P40" s="61" t="str">
        <f t="shared" si="4"/>
        <v>-</v>
      </c>
      <c r="Q40" s="61" t="str">
        <f t="shared" si="5"/>
        <v>1</v>
      </c>
      <c r="R40" s="61"/>
      <c r="S40" s="61"/>
      <c r="T40" s="61"/>
      <c r="U40" s="61"/>
    </row>
    <row r="41" spans="1:77" s="62" customFormat="1" ht="24.95" customHeight="1">
      <c r="A41" s="111"/>
      <c r="B41" s="111"/>
      <c r="C41" s="122"/>
      <c r="D41" s="112"/>
      <c r="E41" s="112"/>
      <c r="F41" s="112"/>
      <c r="G41" s="113"/>
      <c r="H41" s="112"/>
      <c r="I41" s="112"/>
      <c r="J41" s="114"/>
      <c r="K41" s="114"/>
      <c r="L41" s="114"/>
      <c r="M41" s="115"/>
      <c r="N41" s="60"/>
      <c r="O41" s="60" t="str">
        <f t="shared" si="3"/>
        <v/>
      </c>
      <c r="P41" s="61" t="str">
        <f t="shared" si="4"/>
        <v>-</v>
      </c>
      <c r="Q41" s="61" t="str">
        <f t="shared" si="5"/>
        <v>1</v>
      </c>
      <c r="R41" s="61"/>
      <c r="S41" s="61"/>
      <c r="T41" s="61"/>
      <c r="U41" s="61"/>
    </row>
    <row r="42" spans="1:77" s="62" customFormat="1" ht="24.95" customHeight="1">
      <c r="A42" s="111"/>
      <c r="B42" s="111"/>
      <c r="C42" s="122"/>
      <c r="D42" s="112"/>
      <c r="E42" s="112"/>
      <c r="F42" s="112"/>
      <c r="G42" s="116"/>
      <c r="H42" s="112"/>
      <c r="I42" s="112"/>
      <c r="J42" s="114"/>
      <c r="K42" s="114"/>
      <c r="L42" s="114"/>
      <c r="M42" s="115"/>
      <c r="N42" s="60"/>
      <c r="O42" s="60" t="str">
        <f t="shared" si="3"/>
        <v/>
      </c>
      <c r="P42" s="61" t="str">
        <f t="shared" si="4"/>
        <v>-</v>
      </c>
      <c r="Q42" s="61" t="str">
        <f t="shared" si="5"/>
        <v>1</v>
      </c>
      <c r="R42" s="61"/>
      <c r="S42" s="61"/>
      <c r="T42" s="61"/>
      <c r="U42" s="61"/>
    </row>
    <row r="43" spans="1:77" s="62" customFormat="1" ht="24.95" customHeight="1">
      <c r="A43" s="111"/>
      <c r="B43" s="111"/>
      <c r="C43" s="122"/>
      <c r="D43" s="112"/>
      <c r="E43" s="112"/>
      <c r="F43" s="112"/>
      <c r="G43" s="113"/>
      <c r="H43" s="112"/>
      <c r="I43" s="112"/>
      <c r="J43" s="114"/>
      <c r="K43" s="114"/>
      <c r="L43" s="114"/>
      <c r="M43" s="115"/>
      <c r="N43" s="60"/>
      <c r="O43" s="60" t="str">
        <f t="shared" si="3"/>
        <v/>
      </c>
      <c r="P43" s="61" t="str">
        <f t="shared" si="4"/>
        <v>-</v>
      </c>
      <c r="Q43" s="61" t="str">
        <f t="shared" si="5"/>
        <v>1</v>
      </c>
      <c r="R43" s="61"/>
      <c r="S43" s="61"/>
      <c r="T43" s="61"/>
      <c r="U43" s="61"/>
    </row>
    <row r="44" spans="1:77" s="62" customFormat="1" ht="24.95" customHeight="1">
      <c r="A44" s="111"/>
      <c r="B44" s="111"/>
      <c r="C44" s="122"/>
      <c r="D44" s="112"/>
      <c r="E44" s="112"/>
      <c r="F44" s="112"/>
      <c r="G44" s="113"/>
      <c r="H44" s="112"/>
      <c r="I44" s="112"/>
      <c r="J44" s="114"/>
      <c r="K44" s="114"/>
      <c r="L44" s="114"/>
      <c r="M44" s="115"/>
      <c r="N44" s="60"/>
      <c r="O44" s="60" t="str">
        <f t="shared" si="3"/>
        <v/>
      </c>
      <c r="P44" s="61" t="str">
        <f t="shared" si="4"/>
        <v>-</v>
      </c>
      <c r="Q44" s="61" t="str">
        <f t="shared" si="5"/>
        <v>1</v>
      </c>
      <c r="R44" s="61"/>
      <c r="S44" s="61"/>
      <c r="T44" s="61"/>
      <c r="U44" s="61"/>
    </row>
    <row r="45" spans="1:77" s="62" customFormat="1" ht="24.95" customHeight="1">
      <c r="A45" s="111"/>
      <c r="B45" s="111"/>
      <c r="C45" s="122"/>
      <c r="D45" s="112"/>
      <c r="E45" s="112"/>
      <c r="F45" s="112"/>
      <c r="G45" s="113"/>
      <c r="H45" s="112"/>
      <c r="I45" s="112"/>
      <c r="J45" s="114"/>
      <c r="K45" s="114"/>
      <c r="L45" s="114"/>
      <c r="M45" s="115"/>
      <c r="N45" s="60"/>
      <c r="O45" s="60" t="str">
        <f t="shared" si="3"/>
        <v/>
      </c>
      <c r="P45" s="61" t="str">
        <f t="shared" si="4"/>
        <v>-</v>
      </c>
      <c r="Q45" s="61" t="str">
        <f t="shared" si="5"/>
        <v>1</v>
      </c>
      <c r="R45" s="61"/>
      <c r="S45" s="61"/>
      <c r="T45" s="61"/>
      <c r="U45" s="61"/>
    </row>
    <row r="46" spans="1:77" s="62" customFormat="1" ht="24.95" customHeight="1">
      <c r="A46" s="111"/>
      <c r="B46" s="111"/>
      <c r="C46" s="122"/>
      <c r="D46" s="112"/>
      <c r="E46" s="112"/>
      <c r="F46" s="112"/>
      <c r="G46" s="113"/>
      <c r="H46" s="112"/>
      <c r="I46" s="112"/>
      <c r="J46" s="114"/>
      <c r="K46" s="114"/>
      <c r="L46" s="114"/>
      <c r="M46" s="115"/>
      <c r="N46" s="60"/>
      <c r="O46" s="60" t="str">
        <f t="shared" si="3"/>
        <v/>
      </c>
      <c r="P46" s="61" t="str">
        <f t="shared" si="4"/>
        <v>-</v>
      </c>
      <c r="Q46" s="61" t="str">
        <f t="shared" si="5"/>
        <v>1</v>
      </c>
      <c r="R46" s="61"/>
      <c r="S46" s="61"/>
      <c r="T46" s="61"/>
      <c r="U46" s="61"/>
    </row>
    <row r="47" spans="1:77" s="62" customFormat="1" ht="24.95" customHeight="1">
      <c r="A47" s="111"/>
      <c r="B47" s="111"/>
      <c r="C47" s="122"/>
      <c r="D47" s="112"/>
      <c r="E47" s="112"/>
      <c r="F47" s="112"/>
      <c r="G47" s="116"/>
      <c r="H47" s="112"/>
      <c r="I47" s="112"/>
      <c r="J47" s="114"/>
      <c r="K47" s="114"/>
      <c r="L47" s="114"/>
      <c r="M47" s="115"/>
      <c r="N47" s="60"/>
      <c r="O47" s="60" t="str">
        <f t="shared" si="3"/>
        <v/>
      </c>
      <c r="P47" s="61" t="str">
        <f t="shared" si="4"/>
        <v>-</v>
      </c>
      <c r="Q47" s="61" t="str">
        <f t="shared" si="5"/>
        <v>1</v>
      </c>
      <c r="R47" s="61"/>
      <c r="S47" s="61"/>
      <c r="T47" s="61"/>
      <c r="U47" s="61"/>
    </row>
    <row r="48" spans="1:77" s="73" customFormat="1" ht="24.95" customHeight="1">
      <c r="A48" s="117" t="s">
        <v>41</v>
      </c>
      <c r="B48" s="117"/>
      <c r="C48" s="117"/>
      <c r="D48" s="118"/>
      <c r="E48" s="119"/>
      <c r="F48" s="119">
        <f>SUM(F31:F47)</f>
        <v>0</v>
      </c>
      <c r="G48" s="119">
        <f>SUM(G31:G47)</f>
        <v>0</v>
      </c>
      <c r="H48" s="120"/>
      <c r="I48" s="120"/>
      <c r="J48" s="141"/>
      <c r="K48" s="114"/>
      <c r="L48" s="114"/>
      <c r="M48" s="121"/>
      <c r="N48" s="60"/>
      <c r="O48" s="60" t="str">
        <f t="shared" si="3"/>
        <v/>
      </c>
      <c r="P48" s="61"/>
      <c r="Q48" s="61"/>
      <c r="R48" s="61"/>
      <c r="S48" s="61"/>
      <c r="T48" s="61"/>
      <c r="U48" s="61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</row>
    <row r="49" spans="1:21" s="62" customFormat="1" ht="24.95" customHeight="1">
      <c r="A49" s="58"/>
      <c r="B49" s="161"/>
      <c r="C49" s="82"/>
      <c r="D49" s="59"/>
      <c r="E49" s="59"/>
      <c r="F49" s="59"/>
      <c r="G49" s="59"/>
      <c r="H49" s="59"/>
      <c r="I49" s="59"/>
      <c r="J49" s="43"/>
      <c r="K49" s="43"/>
      <c r="L49" s="43"/>
      <c r="M49" s="115"/>
      <c r="N49" s="60"/>
      <c r="O49" s="60" t="str">
        <f t="shared" si="3"/>
        <v/>
      </c>
      <c r="P49" s="61" t="str">
        <f t="shared" ref="P49:P68" si="6">IF(E49&gt;=G49,"-","err")</f>
        <v>-</v>
      </c>
      <c r="Q49" s="61"/>
      <c r="R49" s="61"/>
      <c r="S49" s="61"/>
      <c r="T49" s="61"/>
      <c r="U49" s="61"/>
    </row>
    <row r="50" spans="1:21" s="62" customFormat="1" ht="24.95" customHeight="1">
      <c r="A50" s="92"/>
      <c r="B50" s="162"/>
      <c r="C50" s="96"/>
      <c r="D50" s="93"/>
      <c r="E50" s="93"/>
      <c r="F50" s="93"/>
      <c r="G50" s="93"/>
      <c r="H50" s="93"/>
      <c r="I50" s="93"/>
      <c r="J50" s="94"/>
      <c r="K50" s="94"/>
      <c r="L50" s="94"/>
      <c r="M50" s="115"/>
      <c r="N50" s="60"/>
      <c r="O50" s="60" t="str">
        <f t="shared" si="3"/>
        <v/>
      </c>
      <c r="P50" s="61" t="str">
        <f t="shared" si="6"/>
        <v>-</v>
      </c>
      <c r="Q50" s="61"/>
      <c r="R50" s="61"/>
      <c r="S50" s="61"/>
      <c r="T50" s="61"/>
      <c r="U50" s="61"/>
    </row>
    <row r="51" spans="1:21" s="62" customFormat="1" ht="24.95" customHeight="1">
      <c r="A51" s="63"/>
      <c r="B51" s="163"/>
      <c r="C51" s="83"/>
      <c r="D51" s="65"/>
      <c r="E51" s="65"/>
      <c r="F51" s="65"/>
      <c r="G51" s="65"/>
      <c r="H51" s="65"/>
      <c r="I51" s="65"/>
      <c r="J51" s="44">
        <v>0</v>
      </c>
      <c r="K51" s="44">
        <v>0</v>
      </c>
      <c r="L51" s="44">
        <v>0</v>
      </c>
      <c r="M51" s="115"/>
      <c r="N51" s="60"/>
      <c r="O51" s="60" t="str">
        <f t="shared" si="3"/>
        <v/>
      </c>
      <c r="P51" s="61" t="str">
        <f t="shared" si="6"/>
        <v>-</v>
      </c>
      <c r="Q51" s="61"/>
      <c r="R51" s="61"/>
      <c r="S51" s="61"/>
      <c r="T51" s="61"/>
      <c r="U51" s="61"/>
    </row>
    <row r="52" spans="1:21" s="62" customFormat="1" ht="24.95" customHeight="1">
      <c r="A52" s="63"/>
      <c r="B52" s="163"/>
      <c r="C52" s="84"/>
      <c r="D52" s="65"/>
      <c r="E52" s="65"/>
      <c r="F52" s="65"/>
      <c r="G52" s="65"/>
      <c r="H52" s="65"/>
      <c r="I52" s="65"/>
      <c r="J52" s="44">
        <v>0</v>
      </c>
      <c r="K52" s="44">
        <v>0</v>
      </c>
      <c r="L52" s="44">
        <v>0</v>
      </c>
      <c r="M52" s="17"/>
      <c r="N52" s="60"/>
      <c r="O52" s="60" t="str">
        <f t="shared" si="3"/>
        <v/>
      </c>
      <c r="P52" s="61" t="str">
        <f t="shared" si="6"/>
        <v>-</v>
      </c>
      <c r="Q52" s="61"/>
      <c r="R52" s="61"/>
      <c r="S52" s="61"/>
      <c r="T52" s="61"/>
      <c r="U52" s="61"/>
    </row>
    <row r="53" spans="1:21" s="62" customFormat="1" ht="24.95" customHeight="1">
      <c r="A53" s="63"/>
      <c r="B53" s="163"/>
      <c r="C53" s="89"/>
      <c r="D53" s="65"/>
      <c r="E53" s="65"/>
      <c r="F53" s="65"/>
      <c r="G53" s="65"/>
      <c r="H53" s="65"/>
      <c r="I53" s="65"/>
      <c r="J53" s="44">
        <v>0</v>
      </c>
      <c r="K53" s="44">
        <v>0</v>
      </c>
      <c r="L53" s="44">
        <v>0</v>
      </c>
      <c r="M53" s="17"/>
      <c r="N53" s="60"/>
      <c r="O53" s="60" t="str">
        <f t="shared" si="3"/>
        <v/>
      </c>
      <c r="P53" s="61" t="str">
        <f t="shared" si="6"/>
        <v>-</v>
      </c>
      <c r="Q53" s="61"/>
      <c r="R53" s="61"/>
      <c r="S53" s="61"/>
      <c r="T53" s="61"/>
      <c r="U53" s="61"/>
    </row>
    <row r="54" spans="1:21" s="62" customFormat="1" ht="24.95" customHeight="1">
      <c r="A54" s="63"/>
      <c r="B54" s="163"/>
      <c r="C54" s="89"/>
      <c r="D54" s="65"/>
      <c r="E54" s="65"/>
      <c r="F54" s="65"/>
      <c r="G54" s="65"/>
      <c r="H54" s="65"/>
      <c r="I54" s="65"/>
      <c r="J54" s="44">
        <v>0</v>
      </c>
      <c r="K54" s="44">
        <v>0</v>
      </c>
      <c r="L54" s="44">
        <v>0</v>
      </c>
      <c r="M54" s="17"/>
      <c r="N54" s="60"/>
      <c r="O54" s="60" t="str">
        <f t="shared" si="3"/>
        <v/>
      </c>
      <c r="P54" s="61" t="str">
        <f t="shared" si="6"/>
        <v>-</v>
      </c>
      <c r="Q54" s="61"/>
      <c r="R54" s="61"/>
      <c r="S54" s="61"/>
      <c r="T54" s="61"/>
      <c r="U54" s="61"/>
    </row>
    <row r="55" spans="1:21" s="62" customFormat="1" ht="24.95" customHeight="1">
      <c r="A55" s="63"/>
      <c r="B55" s="163"/>
      <c r="C55" s="89"/>
      <c r="D55" s="65"/>
      <c r="E55" s="65"/>
      <c r="F55" s="65"/>
      <c r="G55" s="65"/>
      <c r="H55" s="65"/>
      <c r="I55" s="65"/>
      <c r="J55" s="44"/>
      <c r="K55" s="44"/>
      <c r="L55" s="44"/>
      <c r="M55" s="17"/>
      <c r="N55" s="60"/>
      <c r="O55" s="60" t="str">
        <f t="shared" si="3"/>
        <v/>
      </c>
      <c r="P55" s="61" t="str">
        <f t="shared" si="6"/>
        <v>-</v>
      </c>
      <c r="Q55" s="61"/>
      <c r="R55" s="61"/>
      <c r="S55" s="61"/>
      <c r="T55" s="61"/>
      <c r="U55" s="61"/>
    </row>
    <row r="56" spans="1:21" s="62" customFormat="1" ht="24.95" customHeight="1">
      <c r="A56" s="63"/>
      <c r="B56" s="163"/>
      <c r="C56" s="89"/>
      <c r="D56" s="65"/>
      <c r="E56" s="65"/>
      <c r="F56" s="65"/>
      <c r="G56" s="65"/>
      <c r="H56" s="65"/>
      <c r="I56" s="65"/>
      <c r="J56" s="44"/>
      <c r="K56" s="44"/>
      <c r="L56" s="44"/>
      <c r="M56" s="17"/>
      <c r="N56" s="60"/>
      <c r="O56" s="60" t="str">
        <f t="shared" si="3"/>
        <v/>
      </c>
      <c r="P56" s="61" t="str">
        <f t="shared" si="6"/>
        <v>-</v>
      </c>
      <c r="Q56" s="61"/>
      <c r="R56" s="61"/>
      <c r="S56" s="61"/>
      <c r="T56" s="61"/>
      <c r="U56" s="61"/>
    </row>
    <row r="57" spans="1:21" s="62" customFormat="1" ht="24.95" customHeight="1">
      <c r="A57" s="63"/>
      <c r="B57" s="163"/>
      <c r="C57" s="89"/>
      <c r="D57" s="65"/>
      <c r="E57" s="65"/>
      <c r="F57" s="65"/>
      <c r="G57" s="65"/>
      <c r="H57" s="65"/>
      <c r="I57" s="65"/>
      <c r="J57" s="44"/>
      <c r="K57" s="44"/>
      <c r="L57" s="44"/>
      <c r="M57" s="17"/>
      <c r="N57" s="60"/>
      <c r="O57" s="60" t="str">
        <f t="shared" si="3"/>
        <v/>
      </c>
      <c r="P57" s="61" t="str">
        <f t="shared" si="6"/>
        <v>-</v>
      </c>
      <c r="Q57" s="61"/>
      <c r="R57" s="61"/>
      <c r="S57" s="61"/>
      <c r="T57" s="61"/>
      <c r="U57" s="61"/>
    </row>
    <row r="58" spans="1:21" s="62" customFormat="1" ht="24.95" customHeight="1">
      <c r="A58" s="63"/>
      <c r="B58" s="163"/>
      <c r="C58" s="89"/>
      <c r="D58" s="65"/>
      <c r="E58" s="65"/>
      <c r="F58" s="65"/>
      <c r="G58" s="65"/>
      <c r="H58" s="65"/>
      <c r="I58" s="65"/>
      <c r="J58" s="44">
        <v>0</v>
      </c>
      <c r="K58" s="44">
        <v>0</v>
      </c>
      <c r="L58" s="44">
        <v>0</v>
      </c>
      <c r="M58" s="17"/>
      <c r="N58" s="60"/>
      <c r="O58" s="60" t="str">
        <f t="shared" si="3"/>
        <v/>
      </c>
      <c r="P58" s="61" t="str">
        <f t="shared" si="6"/>
        <v>-</v>
      </c>
      <c r="Q58" s="61"/>
      <c r="R58" s="61"/>
      <c r="S58" s="61"/>
      <c r="T58" s="61"/>
      <c r="U58" s="61"/>
    </row>
    <row r="59" spans="1:21" s="62" customFormat="1" ht="24.95" customHeight="1">
      <c r="A59" s="63"/>
      <c r="B59" s="163"/>
      <c r="C59" s="89"/>
      <c r="D59" s="65"/>
      <c r="E59" s="65"/>
      <c r="F59" s="65"/>
      <c r="G59" s="65"/>
      <c r="H59" s="65"/>
      <c r="I59" s="65"/>
      <c r="J59" s="44">
        <v>0</v>
      </c>
      <c r="K59" s="44">
        <v>0</v>
      </c>
      <c r="L59" s="44">
        <v>0</v>
      </c>
      <c r="M59" s="17"/>
      <c r="N59" s="60"/>
      <c r="O59" s="60" t="str">
        <f t="shared" si="3"/>
        <v/>
      </c>
      <c r="P59" s="61" t="str">
        <f t="shared" si="6"/>
        <v>-</v>
      </c>
      <c r="Q59" s="61"/>
      <c r="R59" s="61"/>
      <c r="S59" s="61"/>
      <c r="T59" s="61"/>
      <c r="U59" s="61"/>
    </row>
    <row r="60" spans="1:21" s="62" customFormat="1" ht="24.95" customHeight="1">
      <c r="A60" s="63"/>
      <c r="B60" s="163"/>
      <c r="C60" s="64"/>
      <c r="D60" s="65"/>
      <c r="E60" s="65"/>
      <c r="F60" s="65"/>
      <c r="G60" s="65"/>
      <c r="H60" s="65"/>
      <c r="I60" s="65"/>
      <c r="J60" s="44"/>
      <c r="K60" s="44"/>
      <c r="L60" s="44"/>
      <c r="M60" s="17"/>
      <c r="N60" s="60"/>
      <c r="O60" s="60" t="str">
        <f t="shared" si="3"/>
        <v/>
      </c>
      <c r="P60" s="61" t="str">
        <f t="shared" si="6"/>
        <v>-</v>
      </c>
      <c r="Q60" s="61"/>
      <c r="R60" s="61"/>
      <c r="S60" s="61"/>
      <c r="T60" s="61"/>
      <c r="U60" s="61"/>
    </row>
    <row r="61" spans="1:21" s="62" customFormat="1" ht="24.95" customHeight="1">
      <c r="A61" s="63"/>
      <c r="B61" s="163"/>
      <c r="C61" s="64"/>
      <c r="D61" s="65"/>
      <c r="E61" s="65"/>
      <c r="F61" s="65"/>
      <c r="G61" s="65"/>
      <c r="H61" s="65"/>
      <c r="I61" s="65"/>
      <c r="J61" s="44"/>
      <c r="K61" s="44"/>
      <c r="L61" s="44"/>
      <c r="M61" s="17"/>
      <c r="N61" s="60"/>
      <c r="O61" s="60" t="str">
        <f t="shared" si="3"/>
        <v/>
      </c>
      <c r="P61" s="61" t="str">
        <f t="shared" si="6"/>
        <v>-</v>
      </c>
      <c r="Q61" s="61"/>
      <c r="R61" s="61"/>
      <c r="S61" s="61"/>
      <c r="T61" s="61"/>
      <c r="U61" s="61"/>
    </row>
    <row r="62" spans="1:21" s="62" customFormat="1" ht="24.95" customHeight="1">
      <c r="A62" s="63"/>
      <c r="B62" s="163"/>
      <c r="C62" s="64"/>
      <c r="D62" s="65"/>
      <c r="E62" s="65"/>
      <c r="F62" s="65"/>
      <c r="G62" s="65"/>
      <c r="H62" s="65"/>
      <c r="I62" s="65"/>
      <c r="J62" s="44"/>
      <c r="K62" s="44"/>
      <c r="L62" s="44"/>
      <c r="M62" s="17"/>
      <c r="N62" s="60"/>
      <c r="O62" s="60" t="str">
        <f t="shared" si="3"/>
        <v/>
      </c>
      <c r="P62" s="61" t="str">
        <f t="shared" si="6"/>
        <v>-</v>
      </c>
      <c r="Q62" s="61"/>
      <c r="R62" s="61"/>
      <c r="S62" s="61"/>
      <c r="T62" s="61"/>
      <c r="U62" s="61"/>
    </row>
    <row r="63" spans="1:21" s="62" customFormat="1" ht="24.95" customHeight="1">
      <c r="A63" s="63"/>
      <c r="B63" s="163"/>
      <c r="C63" s="64"/>
      <c r="D63" s="65"/>
      <c r="E63" s="65"/>
      <c r="F63" s="65"/>
      <c r="G63" s="65"/>
      <c r="H63" s="65"/>
      <c r="I63" s="65"/>
      <c r="J63" s="44"/>
      <c r="K63" s="44"/>
      <c r="L63" s="44"/>
      <c r="M63" s="17"/>
      <c r="N63" s="60"/>
      <c r="O63" s="60" t="str">
        <f t="shared" si="3"/>
        <v/>
      </c>
      <c r="P63" s="61" t="str">
        <f t="shared" si="6"/>
        <v>-</v>
      </c>
      <c r="Q63" s="61"/>
      <c r="R63" s="61"/>
      <c r="S63" s="61"/>
      <c r="T63" s="61"/>
      <c r="U63" s="61"/>
    </row>
    <row r="64" spans="1:21" s="62" customFormat="1" ht="24.95" customHeight="1">
      <c r="A64" s="63"/>
      <c r="B64" s="163"/>
      <c r="C64" s="64"/>
      <c r="D64" s="65"/>
      <c r="E64" s="65"/>
      <c r="F64" s="65"/>
      <c r="G64" s="65"/>
      <c r="H64" s="65"/>
      <c r="I64" s="65"/>
      <c r="J64" s="44"/>
      <c r="K64" s="44"/>
      <c r="L64" s="44"/>
      <c r="M64" s="17"/>
      <c r="N64" s="60"/>
      <c r="O64" s="60" t="str">
        <f t="shared" si="3"/>
        <v/>
      </c>
      <c r="P64" s="61" t="str">
        <f t="shared" si="6"/>
        <v>-</v>
      </c>
      <c r="Q64" s="61"/>
      <c r="R64" s="61"/>
      <c r="S64" s="61"/>
      <c r="T64" s="61"/>
      <c r="U64" s="61"/>
    </row>
    <row r="65" spans="1:77" s="62" customFormat="1" ht="24.95" customHeight="1">
      <c r="A65" s="63"/>
      <c r="B65" s="163"/>
      <c r="C65" s="64"/>
      <c r="D65" s="65"/>
      <c r="E65" s="65"/>
      <c r="F65" s="65"/>
      <c r="G65" s="65"/>
      <c r="H65" s="65"/>
      <c r="I65" s="65"/>
      <c r="J65" s="44"/>
      <c r="K65" s="44"/>
      <c r="L65" s="44"/>
      <c r="M65" s="17"/>
      <c r="N65" s="60"/>
      <c r="O65" s="60" t="str">
        <f t="shared" si="3"/>
        <v/>
      </c>
      <c r="P65" s="61" t="str">
        <f t="shared" si="6"/>
        <v>-</v>
      </c>
      <c r="Q65" s="61"/>
      <c r="R65" s="61"/>
      <c r="S65" s="61"/>
      <c r="T65" s="61"/>
      <c r="U65" s="61"/>
    </row>
    <row r="66" spans="1:77" s="62" customFormat="1" ht="24.95" customHeight="1">
      <c r="A66" s="63"/>
      <c r="B66" s="163"/>
      <c r="C66" s="64"/>
      <c r="D66" s="65"/>
      <c r="E66" s="65"/>
      <c r="F66" s="65"/>
      <c r="G66" s="65"/>
      <c r="H66" s="65"/>
      <c r="I66" s="65"/>
      <c r="J66" s="44"/>
      <c r="K66" s="44"/>
      <c r="L66" s="44"/>
      <c r="M66" s="17"/>
      <c r="N66" s="60"/>
      <c r="O66" s="60" t="str">
        <f t="shared" si="3"/>
        <v/>
      </c>
      <c r="P66" s="61" t="str">
        <f t="shared" si="6"/>
        <v>-</v>
      </c>
      <c r="Q66" s="61"/>
      <c r="R66" s="61"/>
      <c r="S66" s="61"/>
      <c r="T66" s="61"/>
      <c r="U66" s="61"/>
    </row>
    <row r="67" spans="1:77" s="62" customFormat="1" ht="24.95" customHeight="1">
      <c r="A67" s="63"/>
      <c r="B67" s="163"/>
      <c r="C67" s="64"/>
      <c r="D67" s="65"/>
      <c r="E67" s="65"/>
      <c r="F67" s="65"/>
      <c r="G67" s="65"/>
      <c r="H67" s="65"/>
      <c r="I67" s="65"/>
      <c r="J67" s="44"/>
      <c r="K67" s="44"/>
      <c r="L67" s="44"/>
      <c r="M67" s="17"/>
      <c r="N67" s="60"/>
      <c r="O67" s="60" t="str">
        <f t="shared" si="3"/>
        <v/>
      </c>
      <c r="P67" s="61" t="str">
        <f t="shared" si="6"/>
        <v>-</v>
      </c>
      <c r="Q67" s="61"/>
      <c r="R67" s="61"/>
      <c r="S67" s="61"/>
      <c r="T67" s="61"/>
      <c r="U67" s="61"/>
    </row>
    <row r="68" spans="1:77" s="62" customFormat="1" ht="24.95" customHeight="1">
      <c r="A68" s="63"/>
      <c r="B68" s="163"/>
      <c r="C68" s="64"/>
      <c r="D68" s="65"/>
      <c r="E68" s="65"/>
      <c r="F68" s="65"/>
      <c r="G68" s="65"/>
      <c r="H68" s="65"/>
      <c r="I68" s="65"/>
      <c r="J68" s="44"/>
      <c r="K68" s="44"/>
      <c r="L68" s="44"/>
      <c r="M68" s="17"/>
      <c r="N68" s="60"/>
      <c r="O68" s="60" t="str">
        <f t="shared" si="3"/>
        <v/>
      </c>
      <c r="P68" s="61" t="str">
        <f t="shared" si="6"/>
        <v>-</v>
      </c>
      <c r="Q68" s="61"/>
      <c r="R68" s="61"/>
      <c r="S68" s="61"/>
      <c r="T68" s="61"/>
      <c r="U68" s="61"/>
    </row>
    <row r="69" spans="1:77" s="73" customFormat="1" ht="24.95" customHeight="1">
      <c r="A69" s="66" t="s">
        <v>41</v>
      </c>
      <c r="B69" s="67"/>
      <c r="C69" s="67"/>
      <c r="D69" s="68"/>
      <c r="E69" s="69"/>
      <c r="F69" s="69"/>
      <c r="G69" s="69">
        <f>SUM(G49:G68)</f>
        <v>0</v>
      </c>
      <c r="H69" s="70"/>
      <c r="I69" s="70"/>
      <c r="J69" s="70"/>
      <c r="K69" s="70"/>
      <c r="L69" s="70"/>
      <c r="M69" s="71"/>
      <c r="N69" s="60"/>
      <c r="O69" s="60" t="str">
        <f t="shared" si="3"/>
        <v/>
      </c>
      <c r="P69" s="61"/>
      <c r="Q69" s="61"/>
      <c r="R69" s="61"/>
      <c r="S69" s="61"/>
      <c r="T69" s="61"/>
      <c r="U69" s="61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72"/>
      <c r="BR69" s="72"/>
      <c r="BS69" s="72"/>
      <c r="BT69" s="72"/>
      <c r="BU69" s="72"/>
      <c r="BV69" s="72"/>
      <c r="BW69" s="72"/>
      <c r="BX69" s="72"/>
      <c r="BY69" s="72"/>
    </row>
    <row r="70" spans="1:77" s="62" customFormat="1" ht="24.95" customHeight="1">
      <c r="A70" s="58"/>
      <c r="B70" s="161"/>
      <c r="C70" s="82"/>
      <c r="D70" s="59"/>
      <c r="E70" s="59"/>
      <c r="F70" s="59"/>
      <c r="G70" s="59"/>
      <c r="H70" s="59"/>
      <c r="I70" s="59"/>
      <c r="J70" s="43"/>
      <c r="K70" s="43"/>
      <c r="L70" s="43"/>
      <c r="M70" s="16"/>
      <c r="N70" s="60"/>
      <c r="O70" s="60" t="str">
        <f t="shared" si="3"/>
        <v/>
      </c>
      <c r="P70" s="61" t="str">
        <f t="shared" ref="P70:P89" si="7">IF(E70&gt;=G70,"-","err")</f>
        <v>-</v>
      </c>
      <c r="Q70" s="61"/>
      <c r="R70" s="61"/>
      <c r="S70" s="61"/>
      <c r="T70" s="61"/>
      <c r="U70" s="61"/>
    </row>
    <row r="71" spans="1:77" s="62" customFormat="1" ht="24.95" customHeight="1">
      <c r="A71" s="92"/>
      <c r="B71" s="162"/>
      <c r="C71" s="96"/>
      <c r="D71" s="93"/>
      <c r="E71" s="93"/>
      <c r="F71" s="93"/>
      <c r="G71" s="93"/>
      <c r="H71" s="93"/>
      <c r="I71" s="93"/>
      <c r="J71" s="94"/>
      <c r="K71" s="94"/>
      <c r="L71" s="94"/>
      <c r="M71" s="95"/>
      <c r="N71" s="60"/>
      <c r="O71" s="60" t="str">
        <f t="shared" si="3"/>
        <v/>
      </c>
      <c r="P71" s="61" t="str">
        <f t="shared" si="7"/>
        <v>-</v>
      </c>
      <c r="Q71" s="61"/>
      <c r="R71" s="61"/>
      <c r="S71" s="61"/>
      <c r="T71" s="61"/>
      <c r="U71" s="61"/>
    </row>
    <row r="72" spans="1:77" s="62" customFormat="1" ht="24.95" customHeight="1">
      <c r="A72" s="63"/>
      <c r="B72" s="163"/>
      <c r="C72" s="83"/>
      <c r="D72" s="65"/>
      <c r="E72" s="65"/>
      <c r="F72" s="65"/>
      <c r="G72" s="65"/>
      <c r="H72" s="65"/>
      <c r="I72" s="65"/>
      <c r="J72" s="44"/>
      <c r="K72" s="44">
        <v>0</v>
      </c>
      <c r="L72" s="44">
        <v>0</v>
      </c>
      <c r="M72" s="17"/>
      <c r="N72" s="60"/>
      <c r="O72" s="60" t="str">
        <f t="shared" si="3"/>
        <v/>
      </c>
      <c r="P72" s="61" t="str">
        <f t="shared" si="7"/>
        <v>-</v>
      </c>
      <c r="Q72" s="61"/>
      <c r="R72" s="61"/>
      <c r="S72" s="61"/>
      <c r="T72" s="61"/>
      <c r="U72" s="61"/>
    </row>
    <row r="73" spans="1:77" s="62" customFormat="1" ht="24.95" customHeight="1">
      <c r="A73" s="63"/>
      <c r="B73" s="163"/>
      <c r="C73" s="84"/>
      <c r="D73" s="65"/>
      <c r="E73" s="65"/>
      <c r="F73" s="65"/>
      <c r="G73" s="65"/>
      <c r="H73" s="65"/>
      <c r="I73" s="65"/>
      <c r="J73" s="44"/>
      <c r="K73" s="44">
        <v>0</v>
      </c>
      <c r="L73" s="44">
        <v>0</v>
      </c>
      <c r="M73" s="17"/>
      <c r="N73" s="60"/>
      <c r="O73" s="60" t="str">
        <f t="shared" si="3"/>
        <v/>
      </c>
      <c r="P73" s="61" t="str">
        <f t="shared" si="7"/>
        <v>-</v>
      </c>
      <c r="Q73" s="61"/>
      <c r="R73" s="61"/>
      <c r="S73" s="61"/>
      <c r="T73" s="61"/>
      <c r="U73" s="61"/>
    </row>
    <row r="74" spans="1:77" s="62" customFormat="1" ht="24.95" customHeight="1">
      <c r="A74" s="63"/>
      <c r="B74" s="163"/>
      <c r="C74" s="89"/>
      <c r="D74" s="65"/>
      <c r="E74" s="65"/>
      <c r="F74" s="65"/>
      <c r="G74" s="65"/>
      <c r="H74" s="65"/>
      <c r="I74" s="65"/>
      <c r="J74" s="44"/>
      <c r="K74" s="44">
        <v>0</v>
      </c>
      <c r="L74" s="44">
        <v>0</v>
      </c>
      <c r="M74" s="17"/>
      <c r="N74" s="60"/>
      <c r="O74" s="60" t="str">
        <f t="shared" si="3"/>
        <v/>
      </c>
      <c r="P74" s="61" t="str">
        <f t="shared" si="7"/>
        <v>-</v>
      </c>
      <c r="Q74" s="61"/>
      <c r="R74" s="61"/>
      <c r="S74" s="61"/>
      <c r="T74" s="61"/>
      <c r="U74" s="61"/>
    </row>
    <row r="75" spans="1:77" s="62" customFormat="1" ht="24.95" customHeight="1">
      <c r="A75" s="63"/>
      <c r="B75" s="163"/>
      <c r="C75" s="89"/>
      <c r="D75" s="65"/>
      <c r="E75" s="65"/>
      <c r="F75" s="65"/>
      <c r="G75" s="65"/>
      <c r="H75" s="65"/>
      <c r="I75" s="65"/>
      <c r="J75" s="44"/>
      <c r="K75" s="44">
        <v>0</v>
      </c>
      <c r="L75" s="44">
        <v>0</v>
      </c>
      <c r="M75" s="17"/>
      <c r="N75" s="60"/>
      <c r="O75" s="60" t="str">
        <f t="shared" si="3"/>
        <v/>
      </c>
      <c r="P75" s="61" t="str">
        <f t="shared" si="7"/>
        <v>-</v>
      </c>
      <c r="Q75" s="61"/>
      <c r="R75" s="61"/>
      <c r="S75" s="61"/>
      <c r="T75" s="61"/>
      <c r="U75" s="61"/>
    </row>
    <row r="76" spans="1:77" s="62" customFormat="1" ht="24.95" customHeight="1">
      <c r="A76" s="63"/>
      <c r="B76" s="163"/>
      <c r="C76" s="89"/>
      <c r="D76" s="65"/>
      <c r="E76" s="65"/>
      <c r="F76" s="65"/>
      <c r="G76" s="65"/>
      <c r="H76" s="65"/>
      <c r="I76" s="65"/>
      <c r="J76" s="44"/>
      <c r="K76" s="44">
        <v>0</v>
      </c>
      <c r="L76" s="44">
        <v>0</v>
      </c>
      <c r="M76" s="17"/>
      <c r="N76" s="60"/>
      <c r="O76" s="60" t="str">
        <f t="shared" si="3"/>
        <v/>
      </c>
      <c r="P76" s="61" t="str">
        <f t="shared" si="7"/>
        <v>-</v>
      </c>
      <c r="Q76" s="61"/>
      <c r="R76" s="61"/>
      <c r="S76" s="61"/>
      <c r="T76" s="61"/>
      <c r="U76" s="61"/>
    </row>
    <row r="77" spans="1:77" s="62" customFormat="1" ht="24.95" customHeight="1">
      <c r="A77" s="63"/>
      <c r="B77" s="163"/>
      <c r="C77" s="89"/>
      <c r="D77" s="65"/>
      <c r="E77" s="65"/>
      <c r="F77" s="65"/>
      <c r="G77" s="65"/>
      <c r="H77" s="65"/>
      <c r="I77" s="65"/>
      <c r="J77" s="44"/>
      <c r="K77" s="44"/>
      <c r="L77" s="44"/>
      <c r="M77" s="17"/>
      <c r="N77" s="60"/>
      <c r="O77" s="60" t="str">
        <f t="shared" si="3"/>
        <v/>
      </c>
      <c r="P77" s="61" t="str">
        <f t="shared" si="7"/>
        <v>-</v>
      </c>
      <c r="Q77" s="61"/>
      <c r="R77" s="61"/>
      <c r="S77" s="61"/>
      <c r="T77" s="61"/>
      <c r="U77" s="61"/>
    </row>
    <row r="78" spans="1:77" s="62" customFormat="1" ht="24.95" customHeight="1">
      <c r="A78" s="63"/>
      <c r="B78" s="163"/>
      <c r="C78" s="89"/>
      <c r="D78" s="65"/>
      <c r="E78" s="65"/>
      <c r="F78" s="65"/>
      <c r="G78" s="65"/>
      <c r="H78" s="65"/>
      <c r="I78" s="65"/>
      <c r="J78" s="44"/>
      <c r="K78" s="44">
        <v>0</v>
      </c>
      <c r="L78" s="44">
        <v>0</v>
      </c>
      <c r="M78" s="17"/>
      <c r="N78" s="60"/>
      <c r="O78" s="60" t="str">
        <f t="shared" si="3"/>
        <v/>
      </c>
      <c r="P78" s="61" t="str">
        <f t="shared" si="7"/>
        <v>-</v>
      </c>
      <c r="Q78" s="61"/>
      <c r="R78" s="61"/>
      <c r="S78" s="61"/>
      <c r="T78" s="61"/>
      <c r="U78" s="61"/>
    </row>
    <row r="79" spans="1:77" s="62" customFormat="1" ht="24.95" customHeight="1">
      <c r="A79" s="63"/>
      <c r="B79" s="163"/>
      <c r="C79" s="89"/>
      <c r="D79" s="65"/>
      <c r="E79" s="65"/>
      <c r="F79" s="65"/>
      <c r="G79" s="65"/>
      <c r="H79" s="65"/>
      <c r="I79" s="65"/>
      <c r="J79" s="44"/>
      <c r="K79" s="44">
        <v>0</v>
      </c>
      <c r="L79" s="44">
        <v>0</v>
      </c>
      <c r="M79" s="17"/>
      <c r="N79" s="60"/>
      <c r="O79" s="60" t="str">
        <f t="shared" si="3"/>
        <v/>
      </c>
      <c r="P79" s="61" t="str">
        <f t="shared" si="7"/>
        <v>-</v>
      </c>
      <c r="Q79" s="61"/>
      <c r="R79" s="61"/>
      <c r="S79" s="61"/>
      <c r="T79" s="61"/>
      <c r="U79" s="61"/>
    </row>
    <row r="80" spans="1:77" s="62" customFormat="1" ht="24.95" customHeight="1">
      <c r="A80" s="63"/>
      <c r="B80" s="163"/>
      <c r="C80" s="89"/>
      <c r="D80" s="65"/>
      <c r="E80" s="65"/>
      <c r="F80" s="65"/>
      <c r="G80" s="65"/>
      <c r="H80" s="65"/>
      <c r="I80" s="65"/>
      <c r="J80" s="44"/>
      <c r="K80" s="44">
        <v>0</v>
      </c>
      <c r="L80" s="44">
        <v>0</v>
      </c>
      <c r="M80" s="17"/>
      <c r="N80" s="60"/>
      <c r="O80" s="60" t="str">
        <f t="shared" si="3"/>
        <v/>
      </c>
      <c r="P80" s="61" t="str">
        <f t="shared" si="7"/>
        <v>-</v>
      </c>
      <c r="Q80" s="61"/>
      <c r="R80" s="61"/>
      <c r="S80" s="61"/>
      <c r="T80" s="61"/>
      <c r="U80" s="61"/>
    </row>
    <row r="81" spans="1:77" s="62" customFormat="1" ht="24.95" customHeight="1">
      <c r="A81" s="63"/>
      <c r="B81" s="163"/>
      <c r="C81" s="64"/>
      <c r="D81" s="65"/>
      <c r="E81" s="65"/>
      <c r="F81" s="65"/>
      <c r="G81" s="65"/>
      <c r="H81" s="65"/>
      <c r="I81" s="65"/>
      <c r="J81" s="44"/>
      <c r="K81" s="44"/>
      <c r="L81" s="44"/>
      <c r="M81" s="17"/>
      <c r="N81" s="60"/>
      <c r="O81" s="60" t="str">
        <f t="shared" si="3"/>
        <v/>
      </c>
      <c r="P81" s="61" t="str">
        <f t="shared" si="7"/>
        <v>-</v>
      </c>
      <c r="Q81" s="61"/>
      <c r="R81" s="61"/>
      <c r="S81" s="61"/>
      <c r="T81" s="61"/>
      <c r="U81" s="61"/>
    </row>
    <row r="82" spans="1:77" s="62" customFormat="1" ht="35.1" customHeight="1">
      <c r="A82" s="63"/>
      <c r="B82" s="163"/>
      <c r="C82" s="64"/>
      <c r="D82" s="65"/>
      <c r="E82" s="65"/>
      <c r="F82" s="65"/>
      <c r="G82" s="65"/>
      <c r="H82" s="65"/>
      <c r="I82" s="65"/>
      <c r="J82" s="44"/>
      <c r="K82" s="44"/>
      <c r="L82" s="44"/>
      <c r="M82" s="17"/>
      <c r="N82" s="60"/>
      <c r="O82" s="60" t="str">
        <f t="shared" si="3"/>
        <v/>
      </c>
      <c r="P82" s="61" t="str">
        <f t="shared" si="7"/>
        <v>-</v>
      </c>
      <c r="Q82" s="61"/>
      <c r="R82" s="61"/>
      <c r="S82" s="61"/>
      <c r="T82" s="61"/>
      <c r="U82" s="61"/>
    </row>
    <row r="83" spans="1:77" s="62" customFormat="1" ht="35.1" customHeight="1">
      <c r="A83" s="63"/>
      <c r="B83" s="163"/>
      <c r="C83" s="64"/>
      <c r="D83" s="65"/>
      <c r="E83" s="65"/>
      <c r="F83" s="65"/>
      <c r="G83" s="65"/>
      <c r="H83" s="65"/>
      <c r="I83" s="65"/>
      <c r="J83" s="44"/>
      <c r="K83" s="44"/>
      <c r="L83" s="44"/>
      <c r="M83" s="17"/>
      <c r="N83" s="60"/>
      <c r="O83" s="60" t="str">
        <f t="shared" si="3"/>
        <v/>
      </c>
      <c r="P83" s="61" t="str">
        <f t="shared" si="7"/>
        <v>-</v>
      </c>
      <c r="Q83" s="61"/>
      <c r="R83" s="61"/>
      <c r="S83" s="61"/>
      <c r="T83" s="61"/>
      <c r="U83" s="61"/>
    </row>
    <row r="84" spans="1:77" s="62" customFormat="1" ht="35.1" customHeight="1">
      <c r="A84" s="63"/>
      <c r="B84" s="163"/>
      <c r="C84" s="64"/>
      <c r="D84" s="65"/>
      <c r="E84" s="65"/>
      <c r="F84" s="65"/>
      <c r="G84" s="65"/>
      <c r="H84" s="65"/>
      <c r="I84" s="65"/>
      <c r="J84" s="44"/>
      <c r="K84" s="44"/>
      <c r="L84" s="44"/>
      <c r="M84" s="17"/>
      <c r="N84" s="60"/>
      <c r="O84" s="60" t="str">
        <f t="shared" si="3"/>
        <v/>
      </c>
      <c r="P84" s="61" t="str">
        <f t="shared" si="7"/>
        <v>-</v>
      </c>
      <c r="Q84" s="61"/>
      <c r="R84" s="61"/>
      <c r="S84" s="61"/>
      <c r="T84" s="61"/>
      <c r="U84" s="61"/>
    </row>
    <row r="85" spans="1:77" s="62" customFormat="1" ht="35.1" customHeight="1">
      <c r="A85" s="63"/>
      <c r="B85" s="163"/>
      <c r="C85" s="64"/>
      <c r="D85" s="65"/>
      <c r="E85" s="65"/>
      <c r="F85" s="65"/>
      <c r="G85" s="65"/>
      <c r="H85" s="65"/>
      <c r="I85" s="65"/>
      <c r="J85" s="44"/>
      <c r="K85" s="44"/>
      <c r="L85" s="44"/>
      <c r="M85" s="17"/>
      <c r="N85" s="60"/>
      <c r="O85" s="60" t="str">
        <f t="shared" si="3"/>
        <v/>
      </c>
      <c r="P85" s="61" t="str">
        <f t="shared" si="7"/>
        <v>-</v>
      </c>
      <c r="Q85" s="61"/>
      <c r="R85" s="61"/>
      <c r="S85" s="61"/>
      <c r="T85" s="61"/>
      <c r="U85" s="61"/>
    </row>
    <row r="86" spans="1:77" s="62" customFormat="1" ht="35.1" customHeight="1">
      <c r="A86" s="63"/>
      <c r="B86" s="163"/>
      <c r="C86" s="64"/>
      <c r="D86" s="65"/>
      <c r="E86" s="65"/>
      <c r="F86" s="65"/>
      <c r="G86" s="65"/>
      <c r="H86" s="65"/>
      <c r="I86" s="65"/>
      <c r="J86" s="44"/>
      <c r="K86" s="44"/>
      <c r="L86" s="44"/>
      <c r="M86" s="17"/>
      <c r="N86" s="60"/>
      <c r="O86" s="60" t="str">
        <f t="shared" si="3"/>
        <v/>
      </c>
      <c r="P86" s="61" t="str">
        <f t="shared" si="7"/>
        <v>-</v>
      </c>
      <c r="Q86" s="61"/>
      <c r="R86" s="61"/>
      <c r="S86" s="61"/>
      <c r="T86" s="61"/>
      <c r="U86" s="61"/>
    </row>
    <row r="87" spans="1:77" s="62" customFormat="1" ht="35.1" customHeight="1">
      <c r="A87" s="63"/>
      <c r="B87" s="163"/>
      <c r="C87" s="64"/>
      <c r="D87" s="65"/>
      <c r="E87" s="65"/>
      <c r="F87" s="65"/>
      <c r="G87" s="65"/>
      <c r="H87" s="65"/>
      <c r="I87" s="65"/>
      <c r="J87" s="44"/>
      <c r="K87" s="44"/>
      <c r="L87" s="44"/>
      <c r="M87" s="17"/>
      <c r="N87" s="60"/>
      <c r="O87" s="60" t="str">
        <f t="shared" si="3"/>
        <v/>
      </c>
      <c r="P87" s="61" t="str">
        <f t="shared" si="7"/>
        <v>-</v>
      </c>
      <c r="Q87" s="61"/>
      <c r="R87" s="61"/>
      <c r="S87" s="61"/>
      <c r="T87" s="61"/>
      <c r="U87" s="61"/>
    </row>
    <row r="88" spans="1:77" s="62" customFormat="1" ht="35.1" customHeight="1">
      <c r="A88" s="63"/>
      <c r="B88" s="163"/>
      <c r="C88" s="64"/>
      <c r="D88" s="65"/>
      <c r="E88" s="65"/>
      <c r="F88" s="65"/>
      <c r="G88" s="65"/>
      <c r="H88" s="65"/>
      <c r="I88" s="65"/>
      <c r="J88" s="44"/>
      <c r="K88" s="44"/>
      <c r="L88" s="44"/>
      <c r="M88" s="17"/>
      <c r="N88" s="60"/>
      <c r="O88" s="60" t="str">
        <f t="shared" si="3"/>
        <v/>
      </c>
      <c r="P88" s="61" t="str">
        <f t="shared" si="7"/>
        <v>-</v>
      </c>
      <c r="Q88" s="61"/>
      <c r="R88" s="61"/>
      <c r="S88" s="61"/>
      <c r="T88" s="61"/>
      <c r="U88" s="61"/>
    </row>
    <row r="89" spans="1:77" s="62" customFormat="1" ht="35.1" customHeight="1">
      <c r="A89" s="63"/>
      <c r="B89" s="163"/>
      <c r="C89" s="64"/>
      <c r="D89" s="65"/>
      <c r="E89" s="65"/>
      <c r="F89" s="65"/>
      <c r="G89" s="65"/>
      <c r="H89" s="65"/>
      <c r="I89" s="65"/>
      <c r="J89" s="44"/>
      <c r="K89" s="44"/>
      <c r="L89" s="44"/>
      <c r="M89" s="17"/>
      <c r="N89" s="60"/>
      <c r="O89" s="60" t="str">
        <f t="shared" si="3"/>
        <v/>
      </c>
      <c r="P89" s="61" t="str">
        <f t="shared" si="7"/>
        <v>-</v>
      </c>
      <c r="Q89" s="61"/>
      <c r="R89" s="61"/>
      <c r="S89" s="61"/>
      <c r="T89" s="61"/>
      <c r="U89" s="61"/>
    </row>
    <row r="90" spans="1:77" s="73" customFormat="1" ht="35.1" customHeight="1">
      <c r="A90" s="66" t="s">
        <v>41</v>
      </c>
      <c r="B90" s="67"/>
      <c r="C90" s="67"/>
      <c r="D90" s="68"/>
      <c r="E90" s="69"/>
      <c r="F90" s="69"/>
      <c r="G90" s="69">
        <f>SUM(G70:G89)</f>
        <v>0</v>
      </c>
      <c r="H90" s="70"/>
      <c r="I90" s="70"/>
      <c r="J90" s="70"/>
      <c r="K90" s="70"/>
      <c r="L90" s="70"/>
      <c r="M90" s="71"/>
      <c r="N90" s="60"/>
      <c r="O90" s="60" t="str">
        <f t="shared" si="3"/>
        <v/>
      </c>
      <c r="P90" s="61"/>
      <c r="Q90" s="61"/>
      <c r="R90" s="61"/>
      <c r="S90" s="61"/>
      <c r="T90" s="61"/>
      <c r="U90" s="61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</row>
    <row r="91" spans="1:77" s="62" customFormat="1" ht="35.1" customHeight="1">
      <c r="A91" s="58"/>
      <c r="B91" s="161"/>
      <c r="C91" s="82"/>
      <c r="D91" s="59"/>
      <c r="E91" s="59"/>
      <c r="F91" s="59"/>
      <c r="G91" s="59"/>
      <c r="H91" s="59"/>
      <c r="I91" s="59"/>
      <c r="J91" s="43"/>
      <c r="K91" s="43"/>
      <c r="L91" s="43"/>
      <c r="M91" s="16"/>
      <c r="N91" s="60"/>
      <c r="O91" s="60" t="str">
        <f t="shared" si="3"/>
        <v/>
      </c>
      <c r="P91" s="61" t="str">
        <f t="shared" ref="P91:P110" si="8">IF(E91&gt;=G91,"-","err")</f>
        <v>-</v>
      </c>
      <c r="Q91" s="61"/>
      <c r="R91" s="61"/>
      <c r="S91" s="61"/>
      <c r="T91" s="61"/>
      <c r="U91" s="61"/>
    </row>
    <row r="92" spans="1:77" s="62" customFormat="1" ht="35.1" customHeight="1">
      <c r="A92" s="92"/>
      <c r="B92" s="162"/>
      <c r="C92" s="96"/>
      <c r="D92" s="93"/>
      <c r="E92" s="93"/>
      <c r="F92" s="93"/>
      <c r="G92" s="93"/>
      <c r="H92" s="93"/>
      <c r="I92" s="93"/>
      <c r="J92" s="94"/>
      <c r="K92" s="94"/>
      <c r="L92" s="94"/>
      <c r="M92" s="95"/>
      <c r="N92" s="60"/>
      <c r="O92" s="60" t="str">
        <f t="shared" si="3"/>
        <v/>
      </c>
      <c r="P92" s="61" t="str">
        <f t="shared" si="8"/>
        <v>-</v>
      </c>
      <c r="Q92" s="61"/>
      <c r="R92" s="61"/>
      <c r="S92" s="61"/>
      <c r="T92" s="61"/>
      <c r="U92" s="61"/>
    </row>
    <row r="93" spans="1:77" s="62" customFormat="1" ht="35.1" customHeight="1">
      <c r="A93" s="63"/>
      <c r="B93" s="163"/>
      <c r="C93" s="83"/>
      <c r="D93" s="65"/>
      <c r="E93" s="65"/>
      <c r="F93" s="65"/>
      <c r="G93" s="65"/>
      <c r="H93" s="65"/>
      <c r="I93" s="65"/>
      <c r="J93" s="44">
        <v>0</v>
      </c>
      <c r="K93" s="44">
        <v>0</v>
      </c>
      <c r="L93" s="44">
        <v>0</v>
      </c>
      <c r="M93" s="17"/>
      <c r="N93" s="60"/>
      <c r="O93" s="60" t="str">
        <f t="shared" si="3"/>
        <v/>
      </c>
      <c r="P93" s="61" t="str">
        <f t="shared" si="8"/>
        <v>-</v>
      </c>
      <c r="Q93" s="61"/>
      <c r="R93" s="61"/>
      <c r="S93" s="61"/>
      <c r="T93" s="61"/>
      <c r="U93" s="61"/>
    </row>
    <row r="94" spans="1:77" s="62" customFormat="1" ht="35.1" customHeight="1">
      <c r="A94" s="63"/>
      <c r="B94" s="163"/>
      <c r="C94" s="84"/>
      <c r="D94" s="65"/>
      <c r="E94" s="65"/>
      <c r="F94" s="65"/>
      <c r="G94" s="65"/>
      <c r="H94" s="65"/>
      <c r="I94" s="65"/>
      <c r="J94" s="44">
        <v>0</v>
      </c>
      <c r="K94" s="44">
        <v>0</v>
      </c>
      <c r="L94" s="44">
        <v>0</v>
      </c>
      <c r="M94" s="17"/>
      <c r="N94" s="60"/>
      <c r="O94" s="60" t="str">
        <f t="shared" si="3"/>
        <v/>
      </c>
      <c r="P94" s="61" t="str">
        <f t="shared" si="8"/>
        <v>-</v>
      </c>
      <c r="Q94" s="61"/>
      <c r="R94" s="61"/>
      <c r="S94" s="61"/>
      <c r="T94" s="61"/>
      <c r="U94" s="61"/>
    </row>
    <row r="95" spans="1:77" s="62" customFormat="1" ht="35.1" customHeight="1">
      <c r="A95" s="63"/>
      <c r="B95" s="163"/>
      <c r="C95" s="89"/>
      <c r="D95" s="65"/>
      <c r="E95" s="65"/>
      <c r="F95" s="65"/>
      <c r="G95" s="65"/>
      <c r="H95" s="65"/>
      <c r="I95" s="65"/>
      <c r="J95" s="44">
        <v>0</v>
      </c>
      <c r="K95" s="44">
        <v>0</v>
      </c>
      <c r="L95" s="44">
        <v>0</v>
      </c>
      <c r="M95" s="17"/>
      <c r="N95" s="60"/>
      <c r="O95" s="60" t="str">
        <f t="shared" si="3"/>
        <v/>
      </c>
      <c r="P95" s="61" t="str">
        <f t="shared" si="8"/>
        <v>-</v>
      </c>
      <c r="Q95" s="61"/>
      <c r="R95" s="61"/>
      <c r="S95" s="61"/>
      <c r="T95" s="61"/>
      <c r="U95" s="61"/>
    </row>
    <row r="96" spans="1:77" s="62" customFormat="1" ht="35.1" customHeight="1">
      <c r="A96" s="63"/>
      <c r="B96" s="163"/>
      <c r="C96" s="89"/>
      <c r="D96" s="65"/>
      <c r="E96" s="65"/>
      <c r="F96" s="65"/>
      <c r="G96" s="65"/>
      <c r="H96" s="65"/>
      <c r="I96" s="65"/>
      <c r="J96" s="44">
        <v>0</v>
      </c>
      <c r="K96" s="44">
        <v>0</v>
      </c>
      <c r="L96" s="44">
        <v>0</v>
      </c>
      <c r="M96" s="17"/>
      <c r="N96" s="60"/>
      <c r="O96" s="60" t="str">
        <f t="shared" si="3"/>
        <v/>
      </c>
      <c r="P96" s="61" t="str">
        <f t="shared" si="8"/>
        <v>-</v>
      </c>
      <c r="Q96" s="61"/>
      <c r="R96" s="61"/>
      <c r="S96" s="61"/>
      <c r="T96" s="61"/>
      <c r="U96" s="61"/>
    </row>
    <row r="97" spans="1:77" s="62" customFormat="1" ht="35.1" customHeight="1">
      <c r="A97" s="63"/>
      <c r="B97" s="163"/>
      <c r="C97" s="89"/>
      <c r="D97" s="65"/>
      <c r="E97" s="65"/>
      <c r="F97" s="65"/>
      <c r="G97" s="65"/>
      <c r="H97" s="65"/>
      <c r="I97" s="65"/>
      <c r="J97" s="44"/>
      <c r="K97" s="44"/>
      <c r="L97" s="44"/>
      <c r="M97" s="17"/>
      <c r="N97" s="60"/>
      <c r="O97" s="60" t="str">
        <f t="shared" si="3"/>
        <v/>
      </c>
      <c r="P97" s="61" t="str">
        <f t="shared" si="8"/>
        <v>-</v>
      </c>
      <c r="Q97" s="61"/>
      <c r="R97" s="61"/>
      <c r="S97" s="61"/>
      <c r="T97" s="61"/>
      <c r="U97" s="61"/>
    </row>
    <row r="98" spans="1:77" s="62" customFormat="1" ht="35.1" customHeight="1">
      <c r="A98" s="63"/>
      <c r="B98" s="163"/>
      <c r="C98" s="89"/>
      <c r="D98" s="65"/>
      <c r="E98" s="65"/>
      <c r="F98" s="65"/>
      <c r="G98" s="65"/>
      <c r="H98" s="65"/>
      <c r="I98" s="65"/>
      <c r="J98" s="44"/>
      <c r="K98" s="44"/>
      <c r="L98" s="44"/>
      <c r="M98" s="17"/>
      <c r="N98" s="60"/>
      <c r="O98" s="60" t="str">
        <f t="shared" si="3"/>
        <v/>
      </c>
      <c r="P98" s="61" t="str">
        <f t="shared" si="8"/>
        <v>-</v>
      </c>
      <c r="Q98" s="61"/>
      <c r="R98" s="61"/>
      <c r="S98" s="61"/>
      <c r="T98" s="61"/>
      <c r="U98" s="61"/>
    </row>
    <row r="99" spans="1:77" s="62" customFormat="1" ht="35.1" customHeight="1">
      <c r="A99" s="63"/>
      <c r="B99" s="163"/>
      <c r="C99" s="89"/>
      <c r="D99" s="65"/>
      <c r="E99" s="65"/>
      <c r="F99" s="65"/>
      <c r="G99" s="65"/>
      <c r="H99" s="65"/>
      <c r="I99" s="65"/>
      <c r="J99" s="44"/>
      <c r="K99" s="44"/>
      <c r="L99" s="44"/>
      <c r="M99" s="17"/>
      <c r="N99" s="60"/>
      <c r="O99" s="60" t="str">
        <f t="shared" si="3"/>
        <v/>
      </c>
      <c r="P99" s="61" t="str">
        <f t="shared" si="8"/>
        <v>-</v>
      </c>
      <c r="Q99" s="61"/>
      <c r="R99" s="61"/>
      <c r="S99" s="61"/>
      <c r="T99" s="61"/>
      <c r="U99" s="61"/>
    </row>
    <row r="100" spans="1:77" s="62" customFormat="1" ht="35.1" customHeight="1">
      <c r="A100" s="63"/>
      <c r="B100" s="163"/>
      <c r="C100" s="89"/>
      <c r="D100" s="65"/>
      <c r="E100" s="65"/>
      <c r="F100" s="65"/>
      <c r="G100" s="65"/>
      <c r="H100" s="65"/>
      <c r="I100" s="65"/>
      <c r="J100" s="44">
        <v>0</v>
      </c>
      <c r="K100" s="44">
        <v>0</v>
      </c>
      <c r="L100" s="44">
        <v>0</v>
      </c>
      <c r="M100" s="17"/>
      <c r="N100" s="60"/>
      <c r="O100" s="60" t="str">
        <f t="shared" si="3"/>
        <v/>
      </c>
      <c r="P100" s="61" t="str">
        <f t="shared" si="8"/>
        <v>-</v>
      </c>
      <c r="Q100" s="61"/>
      <c r="R100" s="61"/>
      <c r="S100" s="61"/>
      <c r="T100" s="61"/>
      <c r="U100" s="61"/>
    </row>
    <row r="101" spans="1:77" s="62" customFormat="1" ht="35.1" customHeight="1">
      <c r="A101" s="63"/>
      <c r="B101" s="163"/>
      <c r="C101" s="89"/>
      <c r="D101" s="65"/>
      <c r="E101" s="65"/>
      <c r="F101" s="65"/>
      <c r="G101" s="65"/>
      <c r="H101" s="65"/>
      <c r="I101" s="65"/>
      <c r="J101" s="44">
        <v>0</v>
      </c>
      <c r="K101" s="44">
        <v>0</v>
      </c>
      <c r="L101" s="44">
        <v>0</v>
      </c>
      <c r="M101" s="17"/>
      <c r="N101" s="60"/>
      <c r="O101" s="60" t="str">
        <f t="shared" si="3"/>
        <v/>
      </c>
      <c r="P101" s="61" t="str">
        <f t="shared" si="8"/>
        <v>-</v>
      </c>
      <c r="Q101" s="61"/>
      <c r="R101" s="61"/>
      <c r="S101" s="61"/>
      <c r="T101" s="61"/>
      <c r="U101" s="61"/>
    </row>
    <row r="102" spans="1:77" s="62" customFormat="1" ht="35.1" customHeight="1">
      <c r="A102" s="63"/>
      <c r="B102" s="163"/>
      <c r="C102" s="64"/>
      <c r="D102" s="65"/>
      <c r="E102" s="65"/>
      <c r="F102" s="65"/>
      <c r="G102" s="65"/>
      <c r="H102" s="65"/>
      <c r="I102" s="65"/>
      <c r="J102" s="44"/>
      <c r="K102" s="44"/>
      <c r="L102" s="44"/>
      <c r="M102" s="17"/>
      <c r="N102" s="60"/>
      <c r="O102" s="60" t="str">
        <f t="shared" si="3"/>
        <v/>
      </c>
      <c r="P102" s="61" t="str">
        <f t="shared" si="8"/>
        <v>-</v>
      </c>
      <c r="Q102" s="61"/>
      <c r="R102" s="61"/>
      <c r="S102" s="61"/>
      <c r="T102" s="61"/>
      <c r="U102" s="61"/>
    </row>
    <row r="103" spans="1:77" s="62" customFormat="1" ht="35.1" customHeight="1">
      <c r="A103" s="63"/>
      <c r="B103" s="163"/>
      <c r="C103" s="64"/>
      <c r="D103" s="65"/>
      <c r="E103" s="65"/>
      <c r="F103" s="65"/>
      <c r="G103" s="65"/>
      <c r="H103" s="65"/>
      <c r="I103" s="65"/>
      <c r="J103" s="44"/>
      <c r="K103" s="44"/>
      <c r="L103" s="44"/>
      <c r="M103" s="17"/>
      <c r="N103" s="60"/>
      <c r="O103" s="60" t="str">
        <f t="shared" si="3"/>
        <v/>
      </c>
      <c r="P103" s="61" t="str">
        <f t="shared" si="8"/>
        <v>-</v>
      </c>
      <c r="Q103" s="61"/>
      <c r="R103" s="61"/>
      <c r="S103" s="61"/>
      <c r="T103" s="61"/>
      <c r="U103" s="61"/>
    </row>
    <row r="104" spans="1:77" s="62" customFormat="1" ht="35.1" customHeight="1">
      <c r="A104" s="63"/>
      <c r="B104" s="163"/>
      <c r="C104" s="64"/>
      <c r="D104" s="65"/>
      <c r="E104" s="65"/>
      <c r="F104" s="65"/>
      <c r="G104" s="65"/>
      <c r="H104" s="65"/>
      <c r="I104" s="65"/>
      <c r="J104" s="44"/>
      <c r="K104" s="44"/>
      <c r="L104" s="44"/>
      <c r="M104" s="17"/>
      <c r="N104" s="60"/>
      <c r="O104" s="60" t="str">
        <f t="shared" si="3"/>
        <v/>
      </c>
      <c r="P104" s="61" t="str">
        <f t="shared" si="8"/>
        <v>-</v>
      </c>
      <c r="Q104" s="61"/>
      <c r="R104" s="61"/>
      <c r="S104" s="61"/>
      <c r="T104" s="61"/>
      <c r="U104" s="61"/>
    </row>
    <row r="105" spans="1:77" s="62" customFormat="1" ht="35.1" customHeight="1">
      <c r="A105" s="63"/>
      <c r="B105" s="163"/>
      <c r="C105" s="64"/>
      <c r="D105" s="65"/>
      <c r="E105" s="65"/>
      <c r="F105" s="65"/>
      <c r="G105" s="65"/>
      <c r="H105" s="65"/>
      <c r="I105" s="65"/>
      <c r="J105" s="44"/>
      <c r="K105" s="44"/>
      <c r="L105" s="44"/>
      <c r="M105" s="17"/>
      <c r="N105" s="60"/>
      <c r="O105" s="60" t="str">
        <f t="shared" si="3"/>
        <v/>
      </c>
      <c r="P105" s="61" t="str">
        <f t="shared" si="8"/>
        <v>-</v>
      </c>
      <c r="Q105" s="61"/>
      <c r="R105" s="61"/>
      <c r="S105" s="61"/>
      <c r="T105" s="61"/>
      <c r="U105" s="61"/>
    </row>
    <row r="106" spans="1:77" s="62" customFormat="1" ht="35.1" customHeight="1">
      <c r="A106" s="63"/>
      <c r="B106" s="163"/>
      <c r="C106" s="64"/>
      <c r="D106" s="65"/>
      <c r="E106" s="65"/>
      <c r="F106" s="65"/>
      <c r="G106" s="65"/>
      <c r="H106" s="65"/>
      <c r="I106" s="65"/>
      <c r="J106" s="44"/>
      <c r="K106" s="44"/>
      <c r="L106" s="44"/>
      <c r="M106" s="17"/>
      <c r="N106" s="60"/>
      <c r="O106" s="60" t="str">
        <f t="shared" si="3"/>
        <v/>
      </c>
      <c r="P106" s="61" t="str">
        <f t="shared" si="8"/>
        <v>-</v>
      </c>
      <c r="Q106" s="61"/>
      <c r="R106" s="61"/>
      <c r="S106" s="61"/>
      <c r="T106" s="61"/>
      <c r="U106" s="61"/>
    </row>
    <row r="107" spans="1:77" s="62" customFormat="1" ht="35.1" customHeight="1">
      <c r="A107" s="63"/>
      <c r="B107" s="163"/>
      <c r="C107" s="64"/>
      <c r="D107" s="65"/>
      <c r="E107" s="65"/>
      <c r="F107" s="65"/>
      <c r="G107" s="65"/>
      <c r="H107" s="65"/>
      <c r="I107" s="65"/>
      <c r="J107" s="44"/>
      <c r="K107" s="44"/>
      <c r="L107" s="44"/>
      <c r="M107" s="17"/>
      <c r="N107" s="60"/>
      <c r="O107" s="60" t="str">
        <f t="shared" si="3"/>
        <v/>
      </c>
      <c r="P107" s="61" t="str">
        <f t="shared" si="8"/>
        <v>-</v>
      </c>
      <c r="Q107" s="61"/>
      <c r="R107" s="61"/>
      <c r="S107" s="61"/>
      <c r="T107" s="61"/>
      <c r="U107" s="61"/>
    </row>
    <row r="108" spans="1:77" s="62" customFormat="1" ht="35.1" customHeight="1">
      <c r="A108" s="63"/>
      <c r="B108" s="163"/>
      <c r="C108" s="64"/>
      <c r="D108" s="65"/>
      <c r="E108" s="65"/>
      <c r="F108" s="65"/>
      <c r="G108" s="65"/>
      <c r="H108" s="65"/>
      <c r="I108" s="65"/>
      <c r="J108" s="44"/>
      <c r="K108" s="44"/>
      <c r="L108" s="44"/>
      <c r="M108" s="17"/>
      <c r="N108" s="60"/>
      <c r="O108" s="60" t="str">
        <f t="shared" si="3"/>
        <v/>
      </c>
      <c r="P108" s="61" t="str">
        <f t="shared" si="8"/>
        <v>-</v>
      </c>
      <c r="Q108" s="61"/>
      <c r="R108" s="61"/>
      <c r="S108" s="61"/>
      <c r="T108" s="61"/>
      <c r="U108" s="61"/>
    </row>
    <row r="109" spans="1:77" s="62" customFormat="1" ht="35.1" customHeight="1">
      <c r="A109" s="63"/>
      <c r="B109" s="163"/>
      <c r="C109" s="64"/>
      <c r="D109" s="65"/>
      <c r="E109" s="65"/>
      <c r="F109" s="65"/>
      <c r="G109" s="65"/>
      <c r="H109" s="65"/>
      <c r="I109" s="65"/>
      <c r="J109" s="44"/>
      <c r="K109" s="44"/>
      <c r="L109" s="44"/>
      <c r="M109" s="17"/>
      <c r="N109" s="60"/>
      <c r="O109" s="60" t="str">
        <f t="shared" si="3"/>
        <v/>
      </c>
      <c r="P109" s="61" t="str">
        <f t="shared" si="8"/>
        <v>-</v>
      </c>
      <c r="Q109" s="61"/>
      <c r="R109" s="61"/>
      <c r="S109" s="61"/>
      <c r="T109" s="61"/>
      <c r="U109" s="61"/>
    </row>
    <row r="110" spans="1:77" s="62" customFormat="1" ht="35.1" customHeight="1">
      <c r="A110" s="63"/>
      <c r="B110" s="163"/>
      <c r="C110" s="64"/>
      <c r="D110" s="65"/>
      <c r="E110" s="65"/>
      <c r="F110" s="65"/>
      <c r="G110" s="65"/>
      <c r="H110" s="65"/>
      <c r="I110" s="65"/>
      <c r="J110" s="44"/>
      <c r="K110" s="44"/>
      <c r="L110" s="44"/>
      <c r="M110" s="17"/>
      <c r="N110" s="60"/>
      <c r="O110" s="60" t="str">
        <f t="shared" si="3"/>
        <v/>
      </c>
      <c r="P110" s="61" t="str">
        <f t="shared" si="8"/>
        <v>-</v>
      </c>
      <c r="Q110" s="61"/>
      <c r="R110" s="61"/>
      <c r="S110" s="61"/>
      <c r="T110" s="61"/>
      <c r="U110" s="61"/>
    </row>
    <row r="111" spans="1:77" s="73" customFormat="1" ht="35.1" customHeight="1">
      <c r="A111" s="66" t="s">
        <v>41</v>
      </c>
      <c r="B111" s="67"/>
      <c r="C111" s="67"/>
      <c r="D111" s="68"/>
      <c r="E111" s="69"/>
      <c r="F111" s="69"/>
      <c r="G111" s="69">
        <f>SUM(G91:G110)</f>
        <v>0</v>
      </c>
      <c r="H111" s="70"/>
      <c r="I111" s="70"/>
      <c r="J111" s="70"/>
      <c r="K111" s="70"/>
      <c r="L111" s="70"/>
      <c r="M111" s="71"/>
      <c r="N111" s="60"/>
      <c r="O111" s="60" t="str">
        <f t="shared" si="3"/>
        <v/>
      </c>
      <c r="P111" s="61"/>
      <c r="Q111" s="61"/>
      <c r="R111" s="61"/>
      <c r="S111" s="61"/>
      <c r="T111" s="61"/>
      <c r="U111" s="61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  <c r="AV111" s="72"/>
      <c r="AW111" s="72"/>
      <c r="AX111" s="72"/>
      <c r="AY111" s="72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  <c r="BM111" s="72"/>
      <c r="BN111" s="72"/>
      <c r="BO111" s="72"/>
      <c r="BP111" s="72"/>
      <c r="BQ111" s="72"/>
      <c r="BR111" s="72"/>
      <c r="BS111" s="72"/>
      <c r="BT111" s="72"/>
      <c r="BU111" s="72"/>
      <c r="BV111" s="72"/>
      <c r="BW111" s="72"/>
      <c r="BX111" s="72"/>
      <c r="BY111" s="72"/>
    </row>
    <row r="112" spans="1:77" s="62" customFormat="1" ht="35.1" customHeight="1">
      <c r="A112" s="58"/>
      <c r="B112" s="161"/>
      <c r="C112" s="82"/>
      <c r="D112" s="59"/>
      <c r="E112" s="59"/>
      <c r="F112" s="59"/>
      <c r="G112" s="59"/>
      <c r="H112" s="59"/>
      <c r="I112" s="59"/>
      <c r="J112" s="43"/>
      <c r="K112" s="43"/>
      <c r="L112" s="43"/>
      <c r="M112" s="16"/>
      <c r="N112" s="60"/>
      <c r="O112" s="60" t="str">
        <f t="shared" ref="O112:O175" si="9">CONCATENATE(D112,H112)</f>
        <v/>
      </c>
      <c r="P112" s="61" t="str">
        <f t="shared" ref="P112:P131" si="10">IF(E112&gt;=G112,"-","err")</f>
        <v>-</v>
      </c>
      <c r="Q112" s="61"/>
      <c r="R112" s="61"/>
      <c r="S112" s="61"/>
      <c r="T112" s="61"/>
      <c r="U112" s="61"/>
    </row>
    <row r="113" spans="1:21" s="62" customFormat="1" ht="35.1" customHeight="1">
      <c r="A113" s="92"/>
      <c r="B113" s="162"/>
      <c r="C113" s="96"/>
      <c r="D113" s="93"/>
      <c r="E113" s="93"/>
      <c r="F113" s="93"/>
      <c r="G113" s="93"/>
      <c r="H113" s="93"/>
      <c r="I113" s="93"/>
      <c r="J113" s="94"/>
      <c r="K113" s="94"/>
      <c r="L113" s="94"/>
      <c r="M113" s="95"/>
      <c r="N113" s="60"/>
      <c r="O113" s="60" t="str">
        <f t="shared" si="9"/>
        <v/>
      </c>
      <c r="P113" s="61" t="str">
        <f t="shared" si="10"/>
        <v>-</v>
      </c>
      <c r="Q113" s="61"/>
      <c r="R113" s="61"/>
      <c r="S113" s="61"/>
      <c r="T113" s="61"/>
      <c r="U113" s="61"/>
    </row>
    <row r="114" spans="1:21" s="62" customFormat="1" ht="35.1" customHeight="1">
      <c r="A114" s="63"/>
      <c r="B114" s="163"/>
      <c r="C114" s="83"/>
      <c r="D114" s="65"/>
      <c r="E114" s="65"/>
      <c r="F114" s="65"/>
      <c r="G114" s="65"/>
      <c r="H114" s="65"/>
      <c r="I114" s="65"/>
      <c r="J114" s="44"/>
      <c r="K114" s="44">
        <v>0</v>
      </c>
      <c r="L114" s="44">
        <v>0</v>
      </c>
      <c r="M114" s="17"/>
      <c r="N114" s="60"/>
      <c r="O114" s="60" t="str">
        <f t="shared" si="9"/>
        <v/>
      </c>
      <c r="P114" s="61" t="str">
        <f t="shared" si="10"/>
        <v>-</v>
      </c>
      <c r="Q114" s="61"/>
      <c r="R114" s="61"/>
      <c r="S114" s="61"/>
      <c r="T114" s="61"/>
      <c r="U114" s="61"/>
    </row>
    <row r="115" spans="1:21" s="62" customFormat="1" ht="35.1" customHeight="1">
      <c r="A115" s="63"/>
      <c r="B115" s="163"/>
      <c r="C115" s="84"/>
      <c r="D115" s="65"/>
      <c r="E115" s="65"/>
      <c r="F115" s="65"/>
      <c r="G115" s="65"/>
      <c r="H115" s="65"/>
      <c r="I115" s="65"/>
      <c r="J115" s="44"/>
      <c r="K115" s="44">
        <v>0</v>
      </c>
      <c r="L115" s="44">
        <v>0</v>
      </c>
      <c r="M115" s="17"/>
      <c r="N115" s="60"/>
      <c r="O115" s="60" t="str">
        <f t="shared" si="9"/>
        <v/>
      </c>
      <c r="P115" s="61" t="str">
        <f t="shared" si="10"/>
        <v>-</v>
      </c>
      <c r="Q115" s="61"/>
      <c r="R115" s="61"/>
      <c r="S115" s="61"/>
      <c r="T115" s="61"/>
      <c r="U115" s="61"/>
    </row>
    <row r="116" spans="1:21" s="62" customFormat="1" ht="35.1" customHeight="1">
      <c r="A116" s="63"/>
      <c r="B116" s="163"/>
      <c r="C116" s="89"/>
      <c r="D116" s="65"/>
      <c r="E116" s="65"/>
      <c r="F116" s="65"/>
      <c r="G116" s="65"/>
      <c r="H116" s="65"/>
      <c r="I116" s="65"/>
      <c r="J116" s="44"/>
      <c r="K116" s="44">
        <v>0</v>
      </c>
      <c r="L116" s="44">
        <v>0</v>
      </c>
      <c r="M116" s="17"/>
      <c r="N116" s="60"/>
      <c r="O116" s="60" t="str">
        <f t="shared" si="9"/>
        <v/>
      </c>
      <c r="P116" s="61" t="str">
        <f t="shared" si="10"/>
        <v>-</v>
      </c>
      <c r="Q116" s="61"/>
      <c r="R116" s="61"/>
      <c r="S116" s="61"/>
      <c r="T116" s="61"/>
      <c r="U116" s="61"/>
    </row>
    <row r="117" spans="1:21" s="62" customFormat="1" ht="35.1" customHeight="1">
      <c r="A117" s="63"/>
      <c r="B117" s="163"/>
      <c r="C117" s="89"/>
      <c r="D117" s="65"/>
      <c r="E117" s="65"/>
      <c r="F117" s="65"/>
      <c r="G117" s="65"/>
      <c r="H117" s="65"/>
      <c r="I117" s="65"/>
      <c r="J117" s="44"/>
      <c r="K117" s="44">
        <v>0</v>
      </c>
      <c r="L117" s="44">
        <v>0</v>
      </c>
      <c r="M117" s="17"/>
      <c r="N117" s="60"/>
      <c r="O117" s="60" t="str">
        <f t="shared" si="9"/>
        <v/>
      </c>
      <c r="P117" s="61" t="str">
        <f t="shared" si="10"/>
        <v>-</v>
      </c>
      <c r="Q117" s="61"/>
      <c r="R117" s="61"/>
      <c r="S117" s="61"/>
      <c r="T117" s="61"/>
      <c r="U117" s="61"/>
    </row>
    <row r="118" spans="1:21" s="62" customFormat="1" ht="35.1" customHeight="1">
      <c r="A118" s="63"/>
      <c r="B118" s="163"/>
      <c r="C118" s="89"/>
      <c r="D118" s="65"/>
      <c r="E118" s="65"/>
      <c r="F118" s="65"/>
      <c r="G118" s="65"/>
      <c r="H118" s="65"/>
      <c r="I118" s="65"/>
      <c r="J118" s="44"/>
      <c r="K118" s="44">
        <v>0</v>
      </c>
      <c r="L118" s="44">
        <v>0</v>
      </c>
      <c r="M118" s="17"/>
      <c r="N118" s="60"/>
      <c r="O118" s="60" t="str">
        <f t="shared" si="9"/>
        <v/>
      </c>
      <c r="P118" s="61" t="str">
        <f t="shared" si="10"/>
        <v>-</v>
      </c>
      <c r="Q118" s="61"/>
      <c r="R118" s="61"/>
      <c r="S118" s="61"/>
      <c r="T118" s="61"/>
      <c r="U118" s="61"/>
    </row>
    <row r="119" spans="1:21" s="62" customFormat="1" ht="35.1" customHeight="1">
      <c r="A119" s="63"/>
      <c r="B119" s="163"/>
      <c r="C119" s="89"/>
      <c r="D119" s="65"/>
      <c r="E119" s="65"/>
      <c r="F119" s="65"/>
      <c r="G119" s="65"/>
      <c r="H119" s="65"/>
      <c r="I119" s="65"/>
      <c r="J119" s="44"/>
      <c r="K119" s="44"/>
      <c r="L119" s="44"/>
      <c r="M119" s="17"/>
      <c r="N119" s="60"/>
      <c r="O119" s="60" t="str">
        <f t="shared" si="9"/>
        <v/>
      </c>
      <c r="P119" s="61" t="str">
        <f t="shared" si="10"/>
        <v>-</v>
      </c>
      <c r="Q119" s="61"/>
      <c r="R119" s="61"/>
      <c r="S119" s="61"/>
      <c r="T119" s="61"/>
      <c r="U119" s="61"/>
    </row>
    <row r="120" spans="1:21" s="62" customFormat="1" ht="35.1" customHeight="1">
      <c r="A120" s="63"/>
      <c r="B120" s="163"/>
      <c r="C120" s="89"/>
      <c r="D120" s="65"/>
      <c r="E120" s="65"/>
      <c r="F120" s="65"/>
      <c r="G120" s="65"/>
      <c r="H120" s="65"/>
      <c r="I120" s="65"/>
      <c r="J120" s="44"/>
      <c r="K120" s="44">
        <v>0</v>
      </c>
      <c r="L120" s="44">
        <v>0</v>
      </c>
      <c r="M120" s="17"/>
      <c r="N120" s="60"/>
      <c r="O120" s="60" t="str">
        <f t="shared" si="9"/>
        <v/>
      </c>
      <c r="P120" s="61" t="str">
        <f t="shared" si="10"/>
        <v>-</v>
      </c>
      <c r="Q120" s="61"/>
      <c r="R120" s="61"/>
      <c r="S120" s="61"/>
      <c r="T120" s="61"/>
      <c r="U120" s="61"/>
    </row>
    <row r="121" spans="1:21" s="62" customFormat="1" ht="35.1" customHeight="1">
      <c r="A121" s="63"/>
      <c r="B121" s="163"/>
      <c r="C121" s="89"/>
      <c r="D121" s="65"/>
      <c r="E121" s="65"/>
      <c r="F121" s="65"/>
      <c r="G121" s="65"/>
      <c r="H121" s="65"/>
      <c r="I121" s="65"/>
      <c r="J121" s="44"/>
      <c r="K121" s="44">
        <v>0</v>
      </c>
      <c r="L121" s="44">
        <v>0</v>
      </c>
      <c r="M121" s="17"/>
      <c r="N121" s="60"/>
      <c r="O121" s="60" t="str">
        <f t="shared" si="9"/>
        <v/>
      </c>
      <c r="P121" s="61" t="str">
        <f t="shared" si="10"/>
        <v>-</v>
      </c>
      <c r="Q121" s="61"/>
      <c r="R121" s="61"/>
      <c r="S121" s="61"/>
      <c r="T121" s="61"/>
      <c r="U121" s="61"/>
    </row>
    <row r="122" spans="1:21" s="62" customFormat="1" ht="35.1" customHeight="1">
      <c r="A122" s="63"/>
      <c r="B122" s="163"/>
      <c r="C122" s="89"/>
      <c r="D122" s="65"/>
      <c r="E122" s="65"/>
      <c r="F122" s="65"/>
      <c r="G122" s="65"/>
      <c r="H122" s="65"/>
      <c r="I122" s="65"/>
      <c r="J122" s="44"/>
      <c r="K122" s="44">
        <v>0</v>
      </c>
      <c r="L122" s="44">
        <v>0</v>
      </c>
      <c r="M122" s="17"/>
      <c r="N122" s="60"/>
      <c r="O122" s="60" t="str">
        <f t="shared" si="9"/>
        <v/>
      </c>
      <c r="P122" s="61" t="str">
        <f t="shared" si="10"/>
        <v>-</v>
      </c>
      <c r="Q122" s="61"/>
      <c r="R122" s="61"/>
      <c r="S122" s="61"/>
      <c r="T122" s="61"/>
      <c r="U122" s="61"/>
    </row>
    <row r="123" spans="1:21" s="62" customFormat="1" ht="35.1" customHeight="1">
      <c r="A123" s="63"/>
      <c r="B123" s="163"/>
      <c r="C123" s="64"/>
      <c r="D123" s="65"/>
      <c r="E123" s="65"/>
      <c r="F123" s="65"/>
      <c r="G123" s="65"/>
      <c r="H123" s="65"/>
      <c r="I123" s="65"/>
      <c r="J123" s="44"/>
      <c r="K123" s="44"/>
      <c r="L123" s="44"/>
      <c r="M123" s="17"/>
      <c r="N123" s="60"/>
      <c r="O123" s="60" t="str">
        <f t="shared" si="9"/>
        <v/>
      </c>
      <c r="P123" s="61" t="str">
        <f t="shared" si="10"/>
        <v>-</v>
      </c>
      <c r="Q123" s="61"/>
      <c r="R123" s="61"/>
      <c r="S123" s="61"/>
      <c r="T123" s="61"/>
      <c r="U123" s="61"/>
    </row>
    <row r="124" spans="1:21" s="62" customFormat="1" ht="35.1" customHeight="1">
      <c r="A124" s="63"/>
      <c r="B124" s="163"/>
      <c r="C124" s="64"/>
      <c r="D124" s="65"/>
      <c r="E124" s="65"/>
      <c r="F124" s="65"/>
      <c r="G124" s="65"/>
      <c r="H124" s="65"/>
      <c r="I124" s="65"/>
      <c r="J124" s="44"/>
      <c r="K124" s="44"/>
      <c r="L124" s="44"/>
      <c r="M124" s="17"/>
      <c r="N124" s="60"/>
      <c r="O124" s="60" t="str">
        <f t="shared" si="9"/>
        <v/>
      </c>
      <c r="P124" s="61" t="str">
        <f t="shared" si="10"/>
        <v>-</v>
      </c>
      <c r="Q124" s="61"/>
      <c r="R124" s="61"/>
      <c r="S124" s="61"/>
      <c r="T124" s="61"/>
      <c r="U124" s="61"/>
    </row>
    <row r="125" spans="1:21" s="62" customFormat="1" ht="35.1" customHeight="1">
      <c r="A125" s="63"/>
      <c r="B125" s="163"/>
      <c r="C125" s="64"/>
      <c r="D125" s="65"/>
      <c r="E125" s="65"/>
      <c r="F125" s="65"/>
      <c r="G125" s="65"/>
      <c r="H125" s="65"/>
      <c r="I125" s="65"/>
      <c r="J125" s="44"/>
      <c r="K125" s="44"/>
      <c r="L125" s="44"/>
      <c r="M125" s="17"/>
      <c r="N125" s="60"/>
      <c r="O125" s="60" t="str">
        <f t="shared" si="9"/>
        <v/>
      </c>
      <c r="P125" s="61" t="str">
        <f t="shared" si="10"/>
        <v>-</v>
      </c>
      <c r="Q125" s="61"/>
      <c r="R125" s="61"/>
      <c r="S125" s="61"/>
      <c r="T125" s="61"/>
      <c r="U125" s="61"/>
    </row>
    <row r="126" spans="1:21" s="62" customFormat="1" ht="35.1" customHeight="1">
      <c r="A126" s="63"/>
      <c r="B126" s="163"/>
      <c r="C126" s="64"/>
      <c r="D126" s="65"/>
      <c r="E126" s="65"/>
      <c r="F126" s="65"/>
      <c r="G126" s="65"/>
      <c r="H126" s="65"/>
      <c r="I126" s="65"/>
      <c r="J126" s="44"/>
      <c r="K126" s="44"/>
      <c r="L126" s="44"/>
      <c r="M126" s="17"/>
      <c r="N126" s="60"/>
      <c r="O126" s="60" t="str">
        <f t="shared" si="9"/>
        <v/>
      </c>
      <c r="P126" s="61" t="str">
        <f t="shared" si="10"/>
        <v>-</v>
      </c>
      <c r="Q126" s="61"/>
      <c r="R126" s="61"/>
      <c r="S126" s="61"/>
      <c r="T126" s="61"/>
      <c r="U126" s="61"/>
    </row>
    <row r="127" spans="1:21" s="62" customFormat="1" ht="35.1" customHeight="1">
      <c r="A127" s="63"/>
      <c r="B127" s="163"/>
      <c r="C127" s="64"/>
      <c r="D127" s="65"/>
      <c r="E127" s="65"/>
      <c r="F127" s="65"/>
      <c r="G127" s="65"/>
      <c r="H127" s="65"/>
      <c r="I127" s="65"/>
      <c r="J127" s="44"/>
      <c r="K127" s="44"/>
      <c r="L127" s="44"/>
      <c r="M127" s="17"/>
      <c r="N127" s="60"/>
      <c r="O127" s="60" t="str">
        <f t="shared" si="9"/>
        <v/>
      </c>
      <c r="P127" s="61" t="str">
        <f t="shared" si="10"/>
        <v>-</v>
      </c>
      <c r="Q127" s="61"/>
      <c r="R127" s="61"/>
      <c r="S127" s="61"/>
      <c r="T127" s="61"/>
      <c r="U127" s="61"/>
    </row>
    <row r="128" spans="1:21" s="62" customFormat="1" ht="35.1" customHeight="1">
      <c r="A128" s="63"/>
      <c r="B128" s="163"/>
      <c r="C128" s="64"/>
      <c r="D128" s="65"/>
      <c r="E128" s="65"/>
      <c r="F128" s="65"/>
      <c r="G128" s="65"/>
      <c r="H128" s="65"/>
      <c r="I128" s="65"/>
      <c r="J128" s="44"/>
      <c r="K128" s="44"/>
      <c r="L128" s="44"/>
      <c r="M128" s="17"/>
      <c r="N128" s="60"/>
      <c r="O128" s="60" t="str">
        <f t="shared" si="9"/>
        <v/>
      </c>
      <c r="P128" s="61" t="str">
        <f t="shared" si="10"/>
        <v>-</v>
      </c>
      <c r="Q128" s="61"/>
      <c r="R128" s="61"/>
      <c r="S128" s="61"/>
      <c r="T128" s="61"/>
      <c r="U128" s="61"/>
    </row>
    <row r="129" spans="1:77" s="62" customFormat="1" ht="35.1" customHeight="1">
      <c r="A129" s="63"/>
      <c r="B129" s="163"/>
      <c r="C129" s="64"/>
      <c r="D129" s="65"/>
      <c r="E129" s="65"/>
      <c r="F129" s="65"/>
      <c r="G129" s="65"/>
      <c r="H129" s="65"/>
      <c r="I129" s="65"/>
      <c r="J129" s="44"/>
      <c r="K129" s="44"/>
      <c r="L129" s="44"/>
      <c r="M129" s="17"/>
      <c r="N129" s="60"/>
      <c r="O129" s="60" t="str">
        <f t="shared" si="9"/>
        <v/>
      </c>
      <c r="P129" s="61" t="str">
        <f t="shared" si="10"/>
        <v>-</v>
      </c>
      <c r="Q129" s="61"/>
      <c r="R129" s="61"/>
      <c r="S129" s="61"/>
      <c r="T129" s="61"/>
      <c r="U129" s="61"/>
    </row>
    <row r="130" spans="1:77" s="62" customFormat="1" ht="35.1" customHeight="1">
      <c r="A130" s="63"/>
      <c r="B130" s="163"/>
      <c r="C130" s="64"/>
      <c r="D130" s="65"/>
      <c r="E130" s="65"/>
      <c r="F130" s="65"/>
      <c r="G130" s="65"/>
      <c r="H130" s="65"/>
      <c r="I130" s="65"/>
      <c r="J130" s="44"/>
      <c r="K130" s="44"/>
      <c r="L130" s="44"/>
      <c r="M130" s="17"/>
      <c r="N130" s="60"/>
      <c r="O130" s="60" t="str">
        <f t="shared" si="9"/>
        <v/>
      </c>
      <c r="P130" s="61" t="str">
        <f t="shared" si="10"/>
        <v>-</v>
      </c>
      <c r="Q130" s="61"/>
      <c r="R130" s="61"/>
      <c r="S130" s="61"/>
      <c r="T130" s="61"/>
      <c r="U130" s="61"/>
    </row>
    <row r="131" spans="1:77" s="62" customFormat="1" ht="35.1" customHeight="1">
      <c r="A131" s="63"/>
      <c r="B131" s="163"/>
      <c r="C131" s="64"/>
      <c r="D131" s="65"/>
      <c r="E131" s="65"/>
      <c r="F131" s="65"/>
      <c r="G131" s="65"/>
      <c r="H131" s="65"/>
      <c r="I131" s="65"/>
      <c r="J131" s="44"/>
      <c r="K131" s="44"/>
      <c r="L131" s="44"/>
      <c r="M131" s="17"/>
      <c r="N131" s="60"/>
      <c r="O131" s="60" t="str">
        <f t="shared" si="9"/>
        <v/>
      </c>
      <c r="P131" s="61" t="str">
        <f t="shared" si="10"/>
        <v>-</v>
      </c>
      <c r="Q131" s="61"/>
      <c r="R131" s="61"/>
      <c r="S131" s="61"/>
      <c r="T131" s="61"/>
      <c r="U131" s="61"/>
    </row>
    <row r="132" spans="1:77" s="73" customFormat="1" ht="35.1" customHeight="1">
      <c r="A132" s="66" t="s">
        <v>41</v>
      </c>
      <c r="B132" s="67"/>
      <c r="C132" s="67"/>
      <c r="D132" s="68"/>
      <c r="E132" s="69"/>
      <c r="F132" s="69"/>
      <c r="G132" s="69">
        <f>SUM(G112:G131)</f>
        <v>0</v>
      </c>
      <c r="H132" s="70"/>
      <c r="I132" s="70"/>
      <c r="J132" s="70"/>
      <c r="K132" s="70"/>
      <c r="L132" s="70"/>
      <c r="M132" s="71"/>
      <c r="N132" s="60"/>
      <c r="O132" s="60" t="str">
        <f t="shared" si="9"/>
        <v/>
      </c>
      <c r="P132" s="61"/>
      <c r="Q132" s="61"/>
      <c r="R132" s="61"/>
      <c r="S132" s="61"/>
      <c r="T132" s="61"/>
      <c r="U132" s="61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72"/>
      <c r="AV132" s="72"/>
      <c r="AW132" s="72"/>
      <c r="AX132" s="72"/>
      <c r="AY132" s="72"/>
      <c r="AZ132" s="72"/>
      <c r="BA132" s="72"/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  <c r="BM132" s="72"/>
      <c r="BN132" s="72"/>
      <c r="BO132" s="72"/>
      <c r="BP132" s="72"/>
      <c r="BQ132" s="72"/>
      <c r="BR132" s="72"/>
      <c r="BS132" s="72"/>
      <c r="BT132" s="72"/>
      <c r="BU132" s="72"/>
      <c r="BV132" s="72"/>
      <c r="BW132" s="72"/>
      <c r="BX132" s="72"/>
      <c r="BY132" s="72"/>
    </row>
    <row r="133" spans="1:77" s="62" customFormat="1" ht="35.1" customHeight="1">
      <c r="A133" s="58"/>
      <c r="B133" s="161"/>
      <c r="C133" s="82"/>
      <c r="D133" s="59"/>
      <c r="E133" s="59"/>
      <c r="F133" s="59"/>
      <c r="G133" s="59"/>
      <c r="H133" s="59"/>
      <c r="I133" s="59"/>
      <c r="J133" s="43"/>
      <c r="K133" s="43"/>
      <c r="L133" s="43"/>
      <c r="M133" s="16"/>
      <c r="N133" s="60"/>
      <c r="O133" s="60" t="str">
        <f t="shared" si="9"/>
        <v/>
      </c>
      <c r="P133" s="61" t="str">
        <f t="shared" ref="P133:P152" si="11">IF(E133&gt;=G133,"-","err")</f>
        <v>-</v>
      </c>
      <c r="Q133" s="61"/>
      <c r="R133" s="61"/>
      <c r="S133" s="61"/>
      <c r="T133" s="61"/>
      <c r="U133" s="61"/>
    </row>
    <row r="134" spans="1:77" s="62" customFormat="1" ht="35.1" customHeight="1">
      <c r="A134" s="92"/>
      <c r="B134" s="162"/>
      <c r="C134" s="96"/>
      <c r="D134" s="93"/>
      <c r="E134" s="93"/>
      <c r="F134" s="93"/>
      <c r="G134" s="93"/>
      <c r="H134" s="93"/>
      <c r="I134" s="93"/>
      <c r="J134" s="94"/>
      <c r="K134" s="94"/>
      <c r="L134" s="94"/>
      <c r="M134" s="95"/>
      <c r="N134" s="60"/>
      <c r="O134" s="60" t="str">
        <f t="shared" si="9"/>
        <v/>
      </c>
      <c r="P134" s="61" t="str">
        <f t="shared" si="11"/>
        <v>-</v>
      </c>
      <c r="Q134" s="61"/>
      <c r="R134" s="61"/>
      <c r="S134" s="61"/>
      <c r="T134" s="61"/>
      <c r="U134" s="61"/>
    </row>
    <row r="135" spans="1:77" s="62" customFormat="1" ht="35.1" customHeight="1">
      <c r="A135" s="63"/>
      <c r="B135" s="163"/>
      <c r="C135" s="83"/>
      <c r="D135" s="65"/>
      <c r="E135" s="65"/>
      <c r="F135" s="65"/>
      <c r="G135" s="65"/>
      <c r="H135" s="65"/>
      <c r="I135" s="65"/>
      <c r="J135" s="44">
        <v>0</v>
      </c>
      <c r="K135" s="44">
        <v>0</v>
      </c>
      <c r="L135" s="44">
        <v>0</v>
      </c>
      <c r="M135" s="17"/>
      <c r="N135" s="60"/>
      <c r="O135" s="60" t="str">
        <f t="shared" si="9"/>
        <v/>
      </c>
      <c r="P135" s="61" t="str">
        <f t="shared" si="11"/>
        <v>-</v>
      </c>
      <c r="Q135" s="61"/>
      <c r="R135" s="61"/>
      <c r="S135" s="61"/>
      <c r="T135" s="61"/>
      <c r="U135" s="61"/>
    </row>
    <row r="136" spans="1:77" s="62" customFormat="1" ht="35.1" customHeight="1">
      <c r="A136" s="63"/>
      <c r="B136" s="163"/>
      <c r="C136" s="84"/>
      <c r="D136" s="65"/>
      <c r="E136" s="65"/>
      <c r="F136" s="65"/>
      <c r="G136" s="65"/>
      <c r="H136" s="65"/>
      <c r="I136" s="65"/>
      <c r="J136" s="44">
        <v>0</v>
      </c>
      <c r="K136" s="44">
        <v>0</v>
      </c>
      <c r="L136" s="44">
        <v>0</v>
      </c>
      <c r="M136" s="17"/>
      <c r="N136" s="60"/>
      <c r="O136" s="60" t="str">
        <f t="shared" si="9"/>
        <v/>
      </c>
      <c r="P136" s="61" t="str">
        <f t="shared" si="11"/>
        <v>-</v>
      </c>
      <c r="Q136" s="61"/>
      <c r="R136" s="61"/>
      <c r="S136" s="61"/>
      <c r="T136" s="61"/>
      <c r="U136" s="61"/>
    </row>
    <row r="137" spans="1:77" s="62" customFormat="1" ht="35.1" customHeight="1">
      <c r="A137" s="63"/>
      <c r="B137" s="163"/>
      <c r="C137" s="89"/>
      <c r="D137" s="65"/>
      <c r="E137" s="65"/>
      <c r="F137" s="65"/>
      <c r="G137" s="65"/>
      <c r="H137" s="65"/>
      <c r="I137" s="65"/>
      <c r="J137" s="44">
        <v>0</v>
      </c>
      <c r="K137" s="44">
        <v>0</v>
      </c>
      <c r="L137" s="44">
        <v>0</v>
      </c>
      <c r="M137" s="17"/>
      <c r="N137" s="60"/>
      <c r="O137" s="60" t="str">
        <f t="shared" si="9"/>
        <v/>
      </c>
      <c r="P137" s="61" t="str">
        <f t="shared" si="11"/>
        <v>-</v>
      </c>
      <c r="Q137" s="61"/>
      <c r="R137" s="61"/>
      <c r="S137" s="61"/>
      <c r="T137" s="61"/>
      <c r="U137" s="61"/>
    </row>
    <row r="138" spans="1:77" s="62" customFormat="1" ht="35.1" customHeight="1">
      <c r="A138" s="63"/>
      <c r="B138" s="163"/>
      <c r="C138" s="89"/>
      <c r="D138" s="65"/>
      <c r="E138" s="65"/>
      <c r="F138" s="65"/>
      <c r="G138" s="65"/>
      <c r="H138" s="65"/>
      <c r="I138" s="65"/>
      <c r="J138" s="44">
        <v>0</v>
      </c>
      <c r="K138" s="44">
        <v>0</v>
      </c>
      <c r="L138" s="44">
        <v>0</v>
      </c>
      <c r="M138" s="17"/>
      <c r="N138" s="60"/>
      <c r="O138" s="60" t="str">
        <f t="shared" si="9"/>
        <v/>
      </c>
      <c r="P138" s="61" t="str">
        <f t="shared" si="11"/>
        <v>-</v>
      </c>
      <c r="Q138" s="61"/>
      <c r="R138" s="61"/>
      <c r="S138" s="61"/>
      <c r="T138" s="61"/>
      <c r="U138" s="61"/>
    </row>
    <row r="139" spans="1:77" s="62" customFormat="1" ht="35.1" customHeight="1">
      <c r="A139" s="63"/>
      <c r="B139" s="163"/>
      <c r="C139" s="89"/>
      <c r="D139" s="65"/>
      <c r="E139" s="65"/>
      <c r="F139" s="65"/>
      <c r="G139" s="65"/>
      <c r="H139" s="65"/>
      <c r="I139" s="65"/>
      <c r="J139" s="44"/>
      <c r="K139" s="44"/>
      <c r="L139" s="44"/>
      <c r="M139" s="17"/>
      <c r="N139" s="60"/>
      <c r="O139" s="60" t="str">
        <f t="shared" si="9"/>
        <v/>
      </c>
      <c r="P139" s="61" t="str">
        <f t="shared" si="11"/>
        <v>-</v>
      </c>
      <c r="Q139" s="61"/>
      <c r="R139" s="61"/>
      <c r="S139" s="61"/>
      <c r="T139" s="61"/>
      <c r="U139" s="61"/>
    </row>
    <row r="140" spans="1:77" s="62" customFormat="1" ht="35.1" customHeight="1">
      <c r="A140" s="63"/>
      <c r="B140" s="163"/>
      <c r="C140" s="89"/>
      <c r="D140" s="65"/>
      <c r="E140" s="65"/>
      <c r="F140" s="65"/>
      <c r="G140" s="65"/>
      <c r="H140" s="65"/>
      <c r="I140" s="65"/>
      <c r="J140" s="44"/>
      <c r="K140" s="44"/>
      <c r="L140" s="44"/>
      <c r="M140" s="17"/>
      <c r="N140" s="60"/>
      <c r="O140" s="60" t="str">
        <f t="shared" si="9"/>
        <v/>
      </c>
      <c r="P140" s="61" t="str">
        <f t="shared" si="11"/>
        <v>-</v>
      </c>
      <c r="Q140" s="61"/>
      <c r="R140" s="61"/>
      <c r="S140" s="61"/>
      <c r="T140" s="61"/>
      <c r="U140" s="61"/>
    </row>
    <row r="141" spans="1:77" s="62" customFormat="1" ht="35.1" customHeight="1">
      <c r="A141" s="63"/>
      <c r="B141" s="163"/>
      <c r="C141" s="89"/>
      <c r="D141" s="65"/>
      <c r="E141" s="65"/>
      <c r="F141" s="65"/>
      <c r="G141" s="65"/>
      <c r="H141" s="65"/>
      <c r="I141" s="65"/>
      <c r="J141" s="44"/>
      <c r="K141" s="44"/>
      <c r="L141" s="44"/>
      <c r="M141" s="17"/>
      <c r="N141" s="60"/>
      <c r="O141" s="60" t="str">
        <f t="shared" si="9"/>
        <v/>
      </c>
      <c r="P141" s="61" t="str">
        <f t="shared" si="11"/>
        <v>-</v>
      </c>
      <c r="Q141" s="61"/>
      <c r="R141" s="61"/>
      <c r="S141" s="61"/>
      <c r="T141" s="61"/>
      <c r="U141" s="61"/>
    </row>
    <row r="142" spans="1:77" s="62" customFormat="1" ht="35.1" customHeight="1">
      <c r="A142" s="63"/>
      <c r="B142" s="163"/>
      <c r="C142" s="89"/>
      <c r="D142" s="65"/>
      <c r="E142" s="65"/>
      <c r="F142" s="65"/>
      <c r="G142" s="65"/>
      <c r="H142" s="65"/>
      <c r="I142" s="65"/>
      <c r="J142" s="44">
        <v>0</v>
      </c>
      <c r="K142" s="44">
        <v>0</v>
      </c>
      <c r="L142" s="44">
        <v>0</v>
      </c>
      <c r="M142" s="17"/>
      <c r="N142" s="60"/>
      <c r="O142" s="60" t="str">
        <f t="shared" si="9"/>
        <v/>
      </c>
      <c r="P142" s="61" t="str">
        <f t="shared" si="11"/>
        <v>-</v>
      </c>
      <c r="Q142" s="61"/>
      <c r="R142" s="61"/>
      <c r="S142" s="61"/>
      <c r="T142" s="61"/>
      <c r="U142" s="61"/>
    </row>
    <row r="143" spans="1:77" s="62" customFormat="1" ht="35.1" customHeight="1">
      <c r="A143" s="63"/>
      <c r="B143" s="163"/>
      <c r="C143" s="89"/>
      <c r="D143" s="65"/>
      <c r="E143" s="65"/>
      <c r="F143" s="65"/>
      <c r="G143" s="65"/>
      <c r="H143" s="65"/>
      <c r="I143" s="65"/>
      <c r="J143" s="44">
        <v>0</v>
      </c>
      <c r="K143" s="44">
        <v>0</v>
      </c>
      <c r="L143" s="44">
        <v>0</v>
      </c>
      <c r="M143" s="17"/>
      <c r="N143" s="60"/>
      <c r="O143" s="60" t="str">
        <f t="shared" si="9"/>
        <v/>
      </c>
      <c r="P143" s="61" t="str">
        <f t="shared" si="11"/>
        <v>-</v>
      </c>
      <c r="Q143" s="61"/>
      <c r="R143" s="61"/>
      <c r="S143" s="61"/>
      <c r="T143" s="61"/>
      <c r="U143" s="61"/>
    </row>
    <row r="144" spans="1:77" s="62" customFormat="1" ht="35.1" customHeight="1">
      <c r="A144" s="63"/>
      <c r="B144" s="163"/>
      <c r="C144" s="64"/>
      <c r="D144" s="65"/>
      <c r="E144" s="65"/>
      <c r="F144" s="65"/>
      <c r="G144" s="65"/>
      <c r="H144" s="65"/>
      <c r="I144" s="65"/>
      <c r="J144" s="44"/>
      <c r="K144" s="44"/>
      <c r="L144" s="44"/>
      <c r="M144" s="17"/>
      <c r="N144" s="60"/>
      <c r="O144" s="60" t="str">
        <f t="shared" si="9"/>
        <v/>
      </c>
      <c r="P144" s="61" t="str">
        <f t="shared" si="11"/>
        <v>-</v>
      </c>
      <c r="Q144" s="61"/>
      <c r="R144" s="61"/>
      <c r="S144" s="61"/>
      <c r="T144" s="61"/>
      <c r="U144" s="61"/>
    </row>
    <row r="145" spans="1:77" s="62" customFormat="1" ht="35.1" customHeight="1">
      <c r="A145" s="63"/>
      <c r="B145" s="163"/>
      <c r="C145" s="64"/>
      <c r="D145" s="65"/>
      <c r="E145" s="65"/>
      <c r="F145" s="65"/>
      <c r="G145" s="65"/>
      <c r="H145" s="65"/>
      <c r="I145" s="65"/>
      <c r="J145" s="44"/>
      <c r="K145" s="44"/>
      <c r="L145" s="44"/>
      <c r="M145" s="17"/>
      <c r="N145" s="60"/>
      <c r="O145" s="60" t="str">
        <f t="shared" si="9"/>
        <v/>
      </c>
      <c r="P145" s="61" t="str">
        <f t="shared" si="11"/>
        <v>-</v>
      </c>
      <c r="Q145" s="61"/>
      <c r="R145" s="61"/>
      <c r="S145" s="61"/>
      <c r="T145" s="61"/>
      <c r="U145" s="61"/>
    </row>
    <row r="146" spans="1:77" s="62" customFormat="1" ht="35.1" customHeight="1">
      <c r="A146" s="63"/>
      <c r="B146" s="163"/>
      <c r="C146" s="64"/>
      <c r="D146" s="65"/>
      <c r="E146" s="65"/>
      <c r="F146" s="65"/>
      <c r="G146" s="65"/>
      <c r="H146" s="65"/>
      <c r="I146" s="65"/>
      <c r="J146" s="44"/>
      <c r="K146" s="44"/>
      <c r="L146" s="44"/>
      <c r="M146" s="17"/>
      <c r="N146" s="60"/>
      <c r="O146" s="60" t="str">
        <f t="shared" si="9"/>
        <v/>
      </c>
      <c r="P146" s="61" t="str">
        <f t="shared" si="11"/>
        <v>-</v>
      </c>
      <c r="Q146" s="61"/>
      <c r="R146" s="61"/>
      <c r="S146" s="61"/>
      <c r="T146" s="61"/>
      <c r="U146" s="61"/>
    </row>
    <row r="147" spans="1:77" s="62" customFormat="1" ht="35.1" customHeight="1">
      <c r="A147" s="63"/>
      <c r="B147" s="163"/>
      <c r="C147" s="64"/>
      <c r="D147" s="65"/>
      <c r="E147" s="65"/>
      <c r="F147" s="65"/>
      <c r="G147" s="65"/>
      <c r="H147" s="65"/>
      <c r="I147" s="65"/>
      <c r="J147" s="44"/>
      <c r="K147" s="44"/>
      <c r="L147" s="44"/>
      <c r="M147" s="17"/>
      <c r="N147" s="60"/>
      <c r="O147" s="60" t="str">
        <f t="shared" si="9"/>
        <v/>
      </c>
      <c r="P147" s="61" t="str">
        <f t="shared" si="11"/>
        <v>-</v>
      </c>
      <c r="Q147" s="61"/>
      <c r="R147" s="61"/>
      <c r="S147" s="61"/>
      <c r="T147" s="61"/>
      <c r="U147" s="61"/>
    </row>
    <row r="148" spans="1:77" s="62" customFormat="1" ht="35.1" customHeight="1">
      <c r="A148" s="63"/>
      <c r="B148" s="163"/>
      <c r="C148" s="64"/>
      <c r="D148" s="65"/>
      <c r="E148" s="65"/>
      <c r="F148" s="65"/>
      <c r="G148" s="65"/>
      <c r="H148" s="65"/>
      <c r="I148" s="65"/>
      <c r="J148" s="44"/>
      <c r="K148" s="44"/>
      <c r="L148" s="44"/>
      <c r="M148" s="17"/>
      <c r="N148" s="60"/>
      <c r="O148" s="60" t="str">
        <f t="shared" si="9"/>
        <v/>
      </c>
      <c r="P148" s="61" t="str">
        <f t="shared" si="11"/>
        <v>-</v>
      </c>
      <c r="Q148" s="61"/>
      <c r="R148" s="61"/>
      <c r="S148" s="61"/>
      <c r="T148" s="61"/>
      <c r="U148" s="61"/>
    </row>
    <row r="149" spans="1:77" s="62" customFormat="1" ht="35.1" customHeight="1">
      <c r="A149" s="63"/>
      <c r="B149" s="163"/>
      <c r="C149" s="64"/>
      <c r="D149" s="65"/>
      <c r="E149" s="65"/>
      <c r="F149" s="65"/>
      <c r="G149" s="65"/>
      <c r="H149" s="65"/>
      <c r="I149" s="65"/>
      <c r="J149" s="44"/>
      <c r="K149" s="44"/>
      <c r="L149" s="44"/>
      <c r="M149" s="17"/>
      <c r="N149" s="60"/>
      <c r="O149" s="60" t="str">
        <f t="shared" si="9"/>
        <v/>
      </c>
      <c r="P149" s="61" t="str">
        <f t="shared" si="11"/>
        <v>-</v>
      </c>
      <c r="Q149" s="61"/>
      <c r="R149" s="61"/>
      <c r="S149" s="61"/>
      <c r="T149" s="61"/>
      <c r="U149" s="61"/>
    </row>
    <row r="150" spans="1:77" s="62" customFormat="1" ht="35.1" customHeight="1">
      <c r="A150" s="63"/>
      <c r="B150" s="163"/>
      <c r="C150" s="64"/>
      <c r="D150" s="65"/>
      <c r="E150" s="65"/>
      <c r="F150" s="65"/>
      <c r="G150" s="65"/>
      <c r="H150" s="65"/>
      <c r="I150" s="65"/>
      <c r="J150" s="44"/>
      <c r="K150" s="44"/>
      <c r="L150" s="44"/>
      <c r="M150" s="17"/>
      <c r="N150" s="60"/>
      <c r="O150" s="60" t="str">
        <f t="shared" si="9"/>
        <v/>
      </c>
      <c r="P150" s="61" t="str">
        <f t="shared" si="11"/>
        <v>-</v>
      </c>
      <c r="Q150" s="61"/>
      <c r="R150" s="61"/>
      <c r="S150" s="61"/>
      <c r="T150" s="61"/>
      <c r="U150" s="61"/>
    </row>
    <row r="151" spans="1:77" s="62" customFormat="1" ht="35.1" customHeight="1">
      <c r="A151" s="63"/>
      <c r="B151" s="163"/>
      <c r="C151" s="64"/>
      <c r="D151" s="65"/>
      <c r="E151" s="65"/>
      <c r="F151" s="65"/>
      <c r="G151" s="65"/>
      <c r="H151" s="65"/>
      <c r="I151" s="65"/>
      <c r="J151" s="44"/>
      <c r="K151" s="44"/>
      <c r="L151" s="44"/>
      <c r="M151" s="17"/>
      <c r="N151" s="60"/>
      <c r="O151" s="60" t="str">
        <f t="shared" si="9"/>
        <v/>
      </c>
      <c r="P151" s="61" t="str">
        <f t="shared" si="11"/>
        <v>-</v>
      </c>
      <c r="Q151" s="61"/>
      <c r="R151" s="61"/>
      <c r="S151" s="61"/>
      <c r="T151" s="61"/>
      <c r="U151" s="61"/>
    </row>
    <row r="152" spans="1:77" s="62" customFormat="1" ht="35.1" customHeight="1">
      <c r="A152" s="63"/>
      <c r="B152" s="163"/>
      <c r="C152" s="64"/>
      <c r="D152" s="65"/>
      <c r="E152" s="65"/>
      <c r="F152" s="65"/>
      <c r="G152" s="65"/>
      <c r="H152" s="65"/>
      <c r="I152" s="65"/>
      <c r="J152" s="44"/>
      <c r="K152" s="44"/>
      <c r="L152" s="44"/>
      <c r="M152" s="17"/>
      <c r="N152" s="60"/>
      <c r="O152" s="60" t="str">
        <f t="shared" si="9"/>
        <v/>
      </c>
      <c r="P152" s="61" t="str">
        <f t="shared" si="11"/>
        <v>-</v>
      </c>
      <c r="Q152" s="61"/>
      <c r="R152" s="61"/>
      <c r="S152" s="61"/>
      <c r="T152" s="61"/>
      <c r="U152" s="61"/>
    </row>
    <row r="153" spans="1:77" s="73" customFormat="1" ht="35.1" customHeight="1">
      <c r="A153" s="66" t="s">
        <v>41</v>
      </c>
      <c r="B153" s="67"/>
      <c r="C153" s="67"/>
      <c r="D153" s="68"/>
      <c r="E153" s="69"/>
      <c r="F153" s="69"/>
      <c r="G153" s="69">
        <f>SUM(G133:G152)</f>
        <v>0</v>
      </c>
      <c r="H153" s="70"/>
      <c r="I153" s="70"/>
      <c r="J153" s="70"/>
      <c r="K153" s="70"/>
      <c r="L153" s="70"/>
      <c r="M153" s="71"/>
      <c r="N153" s="60"/>
      <c r="O153" s="60" t="str">
        <f t="shared" si="9"/>
        <v/>
      </c>
      <c r="P153" s="61"/>
      <c r="Q153" s="61"/>
      <c r="R153" s="61"/>
      <c r="S153" s="61"/>
      <c r="T153" s="61"/>
      <c r="U153" s="61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72"/>
      <c r="AT153" s="72"/>
      <c r="AU153" s="72"/>
      <c r="AV153" s="72"/>
      <c r="AW153" s="72"/>
      <c r="AX153" s="72"/>
      <c r="AY153" s="72"/>
      <c r="AZ153" s="72"/>
      <c r="BA153" s="72"/>
      <c r="BB153" s="72"/>
      <c r="BC153" s="72"/>
      <c r="BD153" s="72"/>
      <c r="BE153" s="72"/>
      <c r="BF153" s="72"/>
      <c r="BG153" s="72"/>
      <c r="BH153" s="72"/>
      <c r="BI153" s="72"/>
      <c r="BJ153" s="72"/>
      <c r="BK153" s="72"/>
      <c r="BL153" s="72"/>
      <c r="BM153" s="72"/>
      <c r="BN153" s="72"/>
      <c r="BO153" s="72"/>
      <c r="BP153" s="72"/>
      <c r="BQ153" s="72"/>
      <c r="BR153" s="72"/>
      <c r="BS153" s="72"/>
      <c r="BT153" s="72"/>
      <c r="BU153" s="72"/>
      <c r="BV153" s="72"/>
      <c r="BW153" s="72"/>
      <c r="BX153" s="72"/>
      <c r="BY153" s="72"/>
    </row>
    <row r="154" spans="1:77" s="62" customFormat="1" ht="35.1" customHeight="1">
      <c r="A154" s="58"/>
      <c r="B154" s="161"/>
      <c r="C154" s="82"/>
      <c r="D154" s="59"/>
      <c r="E154" s="59"/>
      <c r="F154" s="59"/>
      <c r="G154" s="59"/>
      <c r="H154" s="59"/>
      <c r="I154" s="59"/>
      <c r="J154" s="43"/>
      <c r="K154" s="43"/>
      <c r="L154" s="43"/>
      <c r="M154" s="16"/>
      <c r="N154" s="60"/>
      <c r="O154" s="60" t="str">
        <f t="shared" si="9"/>
        <v/>
      </c>
      <c r="P154" s="61" t="str">
        <f t="shared" ref="P154:P173" si="12">IF(E154&gt;=G154,"-","err")</f>
        <v>-</v>
      </c>
      <c r="Q154" s="61"/>
      <c r="R154" s="61"/>
      <c r="S154" s="61"/>
      <c r="T154" s="61"/>
      <c r="U154" s="61"/>
    </row>
    <row r="155" spans="1:77" s="62" customFormat="1" ht="35.1" customHeight="1">
      <c r="A155" s="92"/>
      <c r="B155" s="162"/>
      <c r="C155" s="96"/>
      <c r="D155" s="93"/>
      <c r="E155" s="93"/>
      <c r="F155" s="93"/>
      <c r="G155" s="93"/>
      <c r="H155" s="93"/>
      <c r="I155" s="93"/>
      <c r="J155" s="94"/>
      <c r="K155" s="94"/>
      <c r="L155" s="94"/>
      <c r="M155" s="95"/>
      <c r="N155" s="60"/>
      <c r="O155" s="60" t="str">
        <f t="shared" si="9"/>
        <v/>
      </c>
      <c r="P155" s="61" t="str">
        <f t="shared" si="12"/>
        <v>-</v>
      </c>
      <c r="Q155" s="61"/>
      <c r="R155" s="61"/>
      <c r="S155" s="61"/>
      <c r="T155" s="61"/>
      <c r="U155" s="61"/>
    </row>
    <row r="156" spans="1:77" s="62" customFormat="1" ht="35.1" customHeight="1">
      <c r="A156" s="63"/>
      <c r="B156" s="163"/>
      <c r="C156" s="83"/>
      <c r="D156" s="65"/>
      <c r="E156" s="65"/>
      <c r="F156" s="65"/>
      <c r="G156" s="65"/>
      <c r="H156" s="65"/>
      <c r="I156" s="65"/>
      <c r="J156" s="44"/>
      <c r="K156" s="44">
        <v>0</v>
      </c>
      <c r="L156" s="44">
        <v>0</v>
      </c>
      <c r="M156" s="17"/>
      <c r="N156" s="60"/>
      <c r="O156" s="60" t="str">
        <f t="shared" si="9"/>
        <v/>
      </c>
      <c r="P156" s="61" t="str">
        <f t="shared" si="12"/>
        <v>-</v>
      </c>
      <c r="Q156" s="61"/>
      <c r="R156" s="61"/>
      <c r="S156" s="61"/>
      <c r="T156" s="61"/>
      <c r="U156" s="61"/>
    </row>
    <row r="157" spans="1:77" s="62" customFormat="1" ht="35.1" customHeight="1">
      <c r="A157" s="63"/>
      <c r="B157" s="163"/>
      <c r="C157" s="84"/>
      <c r="D157" s="65"/>
      <c r="E157" s="65"/>
      <c r="F157" s="65"/>
      <c r="G157" s="65"/>
      <c r="H157" s="65"/>
      <c r="I157" s="65"/>
      <c r="J157" s="44"/>
      <c r="K157" s="44">
        <v>0</v>
      </c>
      <c r="L157" s="44">
        <v>0</v>
      </c>
      <c r="M157" s="17"/>
      <c r="N157" s="60"/>
      <c r="O157" s="60" t="str">
        <f t="shared" si="9"/>
        <v/>
      </c>
      <c r="P157" s="61" t="str">
        <f t="shared" si="12"/>
        <v>-</v>
      </c>
      <c r="Q157" s="61"/>
      <c r="R157" s="61"/>
      <c r="S157" s="61"/>
      <c r="T157" s="61"/>
      <c r="U157" s="61"/>
    </row>
    <row r="158" spans="1:77" s="62" customFormat="1" ht="35.1" customHeight="1">
      <c r="A158" s="63"/>
      <c r="B158" s="163"/>
      <c r="C158" s="89"/>
      <c r="D158" s="65"/>
      <c r="E158" s="65"/>
      <c r="F158" s="65"/>
      <c r="G158" s="65"/>
      <c r="H158" s="65"/>
      <c r="I158" s="65"/>
      <c r="J158" s="44"/>
      <c r="K158" s="44">
        <v>0</v>
      </c>
      <c r="L158" s="44">
        <v>0</v>
      </c>
      <c r="M158" s="17"/>
      <c r="N158" s="60"/>
      <c r="O158" s="60" t="str">
        <f t="shared" si="9"/>
        <v/>
      </c>
      <c r="P158" s="61" t="str">
        <f t="shared" si="12"/>
        <v>-</v>
      </c>
      <c r="Q158" s="61"/>
      <c r="R158" s="61"/>
      <c r="S158" s="61"/>
      <c r="T158" s="61"/>
      <c r="U158" s="61"/>
    </row>
    <row r="159" spans="1:77" s="62" customFormat="1" ht="35.1" customHeight="1">
      <c r="A159" s="63"/>
      <c r="B159" s="163"/>
      <c r="C159" s="89"/>
      <c r="D159" s="65"/>
      <c r="E159" s="65"/>
      <c r="F159" s="65"/>
      <c r="G159" s="65"/>
      <c r="H159" s="65"/>
      <c r="I159" s="65"/>
      <c r="J159" s="44"/>
      <c r="K159" s="44">
        <v>0</v>
      </c>
      <c r="L159" s="44">
        <v>0</v>
      </c>
      <c r="M159" s="17"/>
      <c r="N159" s="60"/>
      <c r="O159" s="60" t="str">
        <f t="shared" si="9"/>
        <v/>
      </c>
      <c r="P159" s="61" t="str">
        <f t="shared" si="12"/>
        <v>-</v>
      </c>
      <c r="Q159" s="61"/>
      <c r="R159" s="61"/>
      <c r="S159" s="61"/>
      <c r="T159" s="61"/>
      <c r="U159" s="61"/>
    </row>
    <row r="160" spans="1:77" s="62" customFormat="1" ht="35.1" customHeight="1">
      <c r="A160" s="63"/>
      <c r="B160" s="163"/>
      <c r="C160" s="89"/>
      <c r="D160" s="65"/>
      <c r="E160" s="65"/>
      <c r="F160" s="65"/>
      <c r="G160" s="65"/>
      <c r="H160" s="65"/>
      <c r="I160" s="65"/>
      <c r="J160" s="44"/>
      <c r="K160" s="44">
        <v>0</v>
      </c>
      <c r="L160" s="44">
        <v>0</v>
      </c>
      <c r="M160" s="17"/>
      <c r="N160" s="60"/>
      <c r="O160" s="60" t="str">
        <f t="shared" si="9"/>
        <v/>
      </c>
      <c r="P160" s="61" t="str">
        <f t="shared" si="12"/>
        <v>-</v>
      </c>
      <c r="Q160" s="61"/>
      <c r="R160" s="61"/>
      <c r="S160" s="61"/>
      <c r="T160" s="61"/>
      <c r="U160" s="61"/>
    </row>
    <row r="161" spans="1:77" s="62" customFormat="1" ht="35.1" customHeight="1">
      <c r="A161" s="63"/>
      <c r="B161" s="163"/>
      <c r="C161" s="89"/>
      <c r="D161" s="65"/>
      <c r="E161" s="65"/>
      <c r="F161" s="65"/>
      <c r="G161" s="65"/>
      <c r="H161" s="65"/>
      <c r="I161" s="65"/>
      <c r="J161" s="44"/>
      <c r="K161" s="44"/>
      <c r="L161" s="44"/>
      <c r="M161" s="17"/>
      <c r="N161" s="60"/>
      <c r="O161" s="60" t="str">
        <f t="shared" si="9"/>
        <v/>
      </c>
      <c r="P161" s="61" t="str">
        <f t="shared" si="12"/>
        <v>-</v>
      </c>
      <c r="Q161" s="61"/>
      <c r="R161" s="61"/>
      <c r="S161" s="61"/>
      <c r="T161" s="61"/>
      <c r="U161" s="61"/>
    </row>
    <row r="162" spans="1:77" s="62" customFormat="1" ht="35.1" customHeight="1">
      <c r="A162" s="63"/>
      <c r="B162" s="163"/>
      <c r="C162" s="89"/>
      <c r="D162" s="65"/>
      <c r="E162" s="65"/>
      <c r="F162" s="65"/>
      <c r="G162" s="65"/>
      <c r="H162" s="65"/>
      <c r="I162" s="65"/>
      <c r="J162" s="44"/>
      <c r="K162" s="44">
        <v>0</v>
      </c>
      <c r="L162" s="44">
        <v>0</v>
      </c>
      <c r="M162" s="17"/>
      <c r="N162" s="60"/>
      <c r="O162" s="60" t="str">
        <f t="shared" si="9"/>
        <v/>
      </c>
      <c r="P162" s="61" t="str">
        <f t="shared" si="12"/>
        <v>-</v>
      </c>
      <c r="Q162" s="61"/>
      <c r="R162" s="61"/>
      <c r="S162" s="61"/>
      <c r="T162" s="61"/>
      <c r="U162" s="61"/>
    </row>
    <row r="163" spans="1:77" s="62" customFormat="1" ht="35.1" customHeight="1">
      <c r="A163" s="63"/>
      <c r="B163" s="163"/>
      <c r="C163" s="89"/>
      <c r="D163" s="65"/>
      <c r="E163" s="65"/>
      <c r="F163" s="65"/>
      <c r="G163" s="65"/>
      <c r="H163" s="65"/>
      <c r="I163" s="65"/>
      <c r="J163" s="44"/>
      <c r="K163" s="44">
        <v>0</v>
      </c>
      <c r="L163" s="44">
        <v>0</v>
      </c>
      <c r="M163" s="17"/>
      <c r="N163" s="60"/>
      <c r="O163" s="60" t="str">
        <f t="shared" si="9"/>
        <v/>
      </c>
      <c r="P163" s="61" t="str">
        <f t="shared" si="12"/>
        <v>-</v>
      </c>
      <c r="Q163" s="61"/>
      <c r="R163" s="61"/>
      <c r="S163" s="61"/>
      <c r="T163" s="61"/>
      <c r="U163" s="61"/>
    </row>
    <row r="164" spans="1:77" s="62" customFormat="1" ht="35.1" customHeight="1">
      <c r="A164" s="63"/>
      <c r="B164" s="163"/>
      <c r="C164" s="89"/>
      <c r="D164" s="65"/>
      <c r="E164" s="65"/>
      <c r="F164" s="65"/>
      <c r="G164" s="65"/>
      <c r="H164" s="65"/>
      <c r="I164" s="65"/>
      <c r="J164" s="44"/>
      <c r="K164" s="44">
        <v>0</v>
      </c>
      <c r="L164" s="44">
        <v>0</v>
      </c>
      <c r="M164" s="17"/>
      <c r="N164" s="60"/>
      <c r="O164" s="60" t="str">
        <f t="shared" si="9"/>
        <v/>
      </c>
      <c r="P164" s="61" t="str">
        <f t="shared" si="12"/>
        <v>-</v>
      </c>
      <c r="Q164" s="61"/>
      <c r="R164" s="61"/>
      <c r="S164" s="61"/>
      <c r="T164" s="61"/>
      <c r="U164" s="61"/>
    </row>
    <row r="165" spans="1:77" s="62" customFormat="1" ht="35.1" customHeight="1">
      <c r="A165" s="63"/>
      <c r="B165" s="163"/>
      <c r="C165" s="64"/>
      <c r="D165" s="65"/>
      <c r="E165" s="65"/>
      <c r="F165" s="65"/>
      <c r="G165" s="65"/>
      <c r="H165" s="65"/>
      <c r="I165" s="65"/>
      <c r="J165" s="44"/>
      <c r="K165" s="44"/>
      <c r="L165" s="44"/>
      <c r="M165" s="17"/>
      <c r="N165" s="60"/>
      <c r="O165" s="60" t="str">
        <f t="shared" si="9"/>
        <v/>
      </c>
      <c r="P165" s="61" t="str">
        <f t="shared" si="12"/>
        <v>-</v>
      </c>
      <c r="Q165" s="61"/>
      <c r="R165" s="61"/>
      <c r="S165" s="61"/>
      <c r="T165" s="61"/>
      <c r="U165" s="61"/>
    </row>
    <row r="166" spans="1:77" s="62" customFormat="1" ht="35.1" customHeight="1">
      <c r="A166" s="63"/>
      <c r="B166" s="163"/>
      <c r="C166" s="64"/>
      <c r="D166" s="65"/>
      <c r="E166" s="65"/>
      <c r="F166" s="65"/>
      <c r="G166" s="65"/>
      <c r="H166" s="65"/>
      <c r="I166" s="65"/>
      <c r="J166" s="44"/>
      <c r="K166" s="44"/>
      <c r="L166" s="44"/>
      <c r="M166" s="17"/>
      <c r="N166" s="60"/>
      <c r="O166" s="60" t="str">
        <f t="shared" si="9"/>
        <v/>
      </c>
      <c r="P166" s="61" t="str">
        <f t="shared" si="12"/>
        <v>-</v>
      </c>
      <c r="Q166" s="61"/>
      <c r="R166" s="61"/>
      <c r="S166" s="61"/>
      <c r="T166" s="61"/>
      <c r="U166" s="61"/>
    </row>
    <row r="167" spans="1:77" s="62" customFormat="1" ht="35.1" customHeight="1">
      <c r="A167" s="63"/>
      <c r="B167" s="163"/>
      <c r="C167" s="64"/>
      <c r="D167" s="65"/>
      <c r="E167" s="65"/>
      <c r="F167" s="65"/>
      <c r="G167" s="65"/>
      <c r="H167" s="65"/>
      <c r="I167" s="65"/>
      <c r="J167" s="44"/>
      <c r="K167" s="44"/>
      <c r="L167" s="44"/>
      <c r="M167" s="17"/>
      <c r="N167" s="60"/>
      <c r="O167" s="60" t="str">
        <f t="shared" si="9"/>
        <v/>
      </c>
      <c r="P167" s="61" t="str">
        <f t="shared" si="12"/>
        <v>-</v>
      </c>
      <c r="Q167" s="61"/>
      <c r="R167" s="61"/>
      <c r="S167" s="61"/>
      <c r="T167" s="61"/>
      <c r="U167" s="61"/>
    </row>
    <row r="168" spans="1:77" s="62" customFormat="1" ht="35.1" customHeight="1">
      <c r="A168" s="63"/>
      <c r="B168" s="163"/>
      <c r="C168" s="64"/>
      <c r="D168" s="65"/>
      <c r="E168" s="65"/>
      <c r="F168" s="65"/>
      <c r="G168" s="65"/>
      <c r="H168" s="65"/>
      <c r="I168" s="65"/>
      <c r="J168" s="44"/>
      <c r="K168" s="44"/>
      <c r="L168" s="44"/>
      <c r="M168" s="17"/>
      <c r="N168" s="60"/>
      <c r="O168" s="60" t="str">
        <f t="shared" si="9"/>
        <v/>
      </c>
      <c r="P168" s="61" t="str">
        <f t="shared" si="12"/>
        <v>-</v>
      </c>
      <c r="Q168" s="61"/>
      <c r="R168" s="61"/>
      <c r="S168" s="61"/>
      <c r="T168" s="61"/>
      <c r="U168" s="61"/>
    </row>
    <row r="169" spans="1:77" s="62" customFormat="1" ht="35.1" customHeight="1">
      <c r="A169" s="63"/>
      <c r="B169" s="163"/>
      <c r="C169" s="64"/>
      <c r="D169" s="65"/>
      <c r="E169" s="65"/>
      <c r="F169" s="65"/>
      <c r="G169" s="65"/>
      <c r="H169" s="65"/>
      <c r="I169" s="65"/>
      <c r="J169" s="44"/>
      <c r="K169" s="44"/>
      <c r="L169" s="44"/>
      <c r="M169" s="17"/>
      <c r="N169" s="60"/>
      <c r="O169" s="60" t="str">
        <f t="shared" si="9"/>
        <v/>
      </c>
      <c r="P169" s="61" t="str">
        <f t="shared" si="12"/>
        <v>-</v>
      </c>
      <c r="Q169" s="61"/>
      <c r="R169" s="61"/>
      <c r="S169" s="61"/>
      <c r="T169" s="61"/>
      <c r="U169" s="61"/>
    </row>
    <row r="170" spans="1:77" s="62" customFormat="1" ht="35.1" customHeight="1">
      <c r="A170" s="63"/>
      <c r="B170" s="163"/>
      <c r="C170" s="64"/>
      <c r="D170" s="65"/>
      <c r="E170" s="65"/>
      <c r="F170" s="65"/>
      <c r="G170" s="65"/>
      <c r="H170" s="65"/>
      <c r="I170" s="65"/>
      <c r="J170" s="44"/>
      <c r="K170" s="44"/>
      <c r="L170" s="44"/>
      <c r="M170" s="17"/>
      <c r="N170" s="60"/>
      <c r="O170" s="60" t="str">
        <f t="shared" si="9"/>
        <v/>
      </c>
      <c r="P170" s="61" t="str">
        <f t="shared" si="12"/>
        <v>-</v>
      </c>
      <c r="Q170" s="61"/>
      <c r="R170" s="61"/>
      <c r="S170" s="61"/>
      <c r="T170" s="61"/>
      <c r="U170" s="61"/>
    </row>
    <row r="171" spans="1:77" s="62" customFormat="1" ht="35.1" customHeight="1">
      <c r="A171" s="63"/>
      <c r="B171" s="163"/>
      <c r="C171" s="64"/>
      <c r="D171" s="65"/>
      <c r="E171" s="65"/>
      <c r="F171" s="65"/>
      <c r="G171" s="65"/>
      <c r="H171" s="65"/>
      <c r="I171" s="65"/>
      <c r="J171" s="44"/>
      <c r="K171" s="44"/>
      <c r="L171" s="44"/>
      <c r="M171" s="17"/>
      <c r="N171" s="60"/>
      <c r="O171" s="60" t="str">
        <f t="shared" si="9"/>
        <v/>
      </c>
      <c r="P171" s="61" t="str">
        <f t="shared" si="12"/>
        <v>-</v>
      </c>
      <c r="Q171" s="61"/>
      <c r="R171" s="61"/>
      <c r="S171" s="61"/>
      <c r="T171" s="61"/>
      <c r="U171" s="61"/>
    </row>
    <row r="172" spans="1:77" s="62" customFormat="1" ht="35.1" customHeight="1">
      <c r="A172" s="63"/>
      <c r="B172" s="163"/>
      <c r="C172" s="64"/>
      <c r="D172" s="65"/>
      <c r="E172" s="65"/>
      <c r="F172" s="65"/>
      <c r="G172" s="65"/>
      <c r="H172" s="65"/>
      <c r="I172" s="65"/>
      <c r="J172" s="44"/>
      <c r="K172" s="44"/>
      <c r="L172" s="44"/>
      <c r="M172" s="17"/>
      <c r="N172" s="60"/>
      <c r="O172" s="60" t="str">
        <f t="shared" si="9"/>
        <v/>
      </c>
      <c r="P172" s="61" t="str">
        <f t="shared" si="12"/>
        <v>-</v>
      </c>
      <c r="Q172" s="61"/>
      <c r="R172" s="61"/>
      <c r="S172" s="61"/>
      <c r="T172" s="61"/>
      <c r="U172" s="61"/>
    </row>
    <row r="173" spans="1:77" s="62" customFormat="1" ht="35.1" customHeight="1">
      <c r="A173" s="63"/>
      <c r="B173" s="163"/>
      <c r="C173" s="64"/>
      <c r="D173" s="65"/>
      <c r="E173" s="65"/>
      <c r="F173" s="65"/>
      <c r="G173" s="65"/>
      <c r="H173" s="65"/>
      <c r="I173" s="65"/>
      <c r="J173" s="44"/>
      <c r="K173" s="44"/>
      <c r="L173" s="44"/>
      <c r="M173" s="17"/>
      <c r="N173" s="60"/>
      <c r="O173" s="60" t="str">
        <f t="shared" si="9"/>
        <v/>
      </c>
      <c r="P173" s="61" t="str">
        <f t="shared" si="12"/>
        <v>-</v>
      </c>
      <c r="Q173" s="61"/>
      <c r="R173" s="61"/>
      <c r="S173" s="61"/>
      <c r="T173" s="61"/>
      <c r="U173" s="61"/>
    </row>
    <row r="174" spans="1:77" s="73" customFormat="1" ht="35.1" customHeight="1">
      <c r="A174" s="66" t="s">
        <v>41</v>
      </c>
      <c r="B174" s="67"/>
      <c r="C174" s="67"/>
      <c r="D174" s="68"/>
      <c r="E174" s="69"/>
      <c r="F174" s="69"/>
      <c r="G174" s="69">
        <f>SUM(G154:G173)</f>
        <v>0</v>
      </c>
      <c r="H174" s="70"/>
      <c r="I174" s="70"/>
      <c r="J174" s="70"/>
      <c r="K174" s="70"/>
      <c r="L174" s="70"/>
      <c r="M174" s="71"/>
      <c r="N174" s="60"/>
      <c r="O174" s="60" t="str">
        <f t="shared" si="9"/>
        <v/>
      </c>
      <c r="P174" s="61"/>
      <c r="Q174" s="61"/>
      <c r="R174" s="61"/>
      <c r="S174" s="61"/>
      <c r="T174" s="61"/>
      <c r="U174" s="61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  <c r="BT174" s="72"/>
      <c r="BU174" s="72"/>
      <c r="BV174" s="72"/>
      <c r="BW174" s="72"/>
      <c r="BX174" s="72"/>
      <c r="BY174" s="72"/>
    </row>
    <row r="175" spans="1:77" s="62" customFormat="1" ht="35.1" customHeight="1">
      <c r="A175" s="58"/>
      <c r="B175" s="161"/>
      <c r="C175" s="82"/>
      <c r="D175" s="59"/>
      <c r="E175" s="59"/>
      <c r="F175" s="59"/>
      <c r="G175" s="59"/>
      <c r="H175" s="59"/>
      <c r="I175" s="59"/>
      <c r="J175" s="43"/>
      <c r="K175" s="43"/>
      <c r="L175" s="43"/>
      <c r="M175" s="16"/>
      <c r="N175" s="60"/>
      <c r="O175" s="60" t="str">
        <f t="shared" si="9"/>
        <v/>
      </c>
      <c r="P175" s="61" t="str">
        <f t="shared" ref="P175:P194" si="13">IF(E175&gt;=G175,"-","err")</f>
        <v>-</v>
      </c>
      <c r="Q175" s="61"/>
      <c r="R175" s="61"/>
      <c r="S175" s="61"/>
      <c r="T175" s="61"/>
      <c r="U175" s="61"/>
    </row>
    <row r="176" spans="1:77" s="62" customFormat="1" ht="35.1" customHeight="1">
      <c r="A176" s="92"/>
      <c r="B176" s="162"/>
      <c r="C176" s="96"/>
      <c r="D176" s="93"/>
      <c r="E176" s="93"/>
      <c r="F176" s="93"/>
      <c r="G176" s="93"/>
      <c r="H176" s="93"/>
      <c r="I176" s="93"/>
      <c r="J176" s="94"/>
      <c r="K176" s="94"/>
      <c r="L176" s="94"/>
      <c r="M176" s="95"/>
      <c r="N176" s="60"/>
      <c r="O176" s="60" t="str">
        <f t="shared" ref="O176:O239" si="14">CONCATENATE(D176,H176)</f>
        <v/>
      </c>
      <c r="P176" s="61" t="str">
        <f t="shared" si="13"/>
        <v>-</v>
      </c>
      <c r="Q176" s="61"/>
      <c r="R176" s="61"/>
      <c r="S176" s="61"/>
      <c r="T176" s="61"/>
      <c r="U176" s="61"/>
    </row>
    <row r="177" spans="1:21" s="62" customFormat="1" ht="35.1" customHeight="1">
      <c r="A177" s="63"/>
      <c r="B177" s="163"/>
      <c r="C177" s="83"/>
      <c r="D177" s="65"/>
      <c r="E177" s="65"/>
      <c r="F177" s="65"/>
      <c r="G177" s="65"/>
      <c r="H177" s="65"/>
      <c r="I177" s="65"/>
      <c r="J177" s="44">
        <v>0</v>
      </c>
      <c r="K177" s="44">
        <v>0</v>
      </c>
      <c r="L177" s="44">
        <v>0</v>
      </c>
      <c r="M177" s="17"/>
      <c r="N177" s="60"/>
      <c r="O177" s="60" t="str">
        <f t="shared" si="14"/>
        <v/>
      </c>
      <c r="P177" s="61" t="str">
        <f t="shared" si="13"/>
        <v>-</v>
      </c>
      <c r="Q177" s="61"/>
      <c r="R177" s="61"/>
      <c r="S177" s="61"/>
      <c r="T177" s="61"/>
      <c r="U177" s="61"/>
    </row>
    <row r="178" spans="1:21" s="62" customFormat="1" ht="35.1" customHeight="1">
      <c r="A178" s="63"/>
      <c r="B178" s="163"/>
      <c r="C178" s="84"/>
      <c r="D178" s="65"/>
      <c r="E178" s="65"/>
      <c r="F178" s="65"/>
      <c r="G178" s="65"/>
      <c r="H178" s="65"/>
      <c r="I178" s="65"/>
      <c r="J178" s="44">
        <v>0</v>
      </c>
      <c r="K178" s="44">
        <v>0</v>
      </c>
      <c r="L178" s="44">
        <v>0</v>
      </c>
      <c r="M178" s="17"/>
      <c r="N178" s="60"/>
      <c r="O178" s="60" t="str">
        <f t="shared" si="14"/>
        <v/>
      </c>
      <c r="P178" s="61" t="str">
        <f t="shared" si="13"/>
        <v>-</v>
      </c>
      <c r="Q178" s="61"/>
      <c r="R178" s="61"/>
      <c r="S178" s="61"/>
      <c r="T178" s="61"/>
      <c r="U178" s="61"/>
    </row>
    <row r="179" spans="1:21" s="62" customFormat="1" ht="35.1" customHeight="1">
      <c r="A179" s="63"/>
      <c r="B179" s="163"/>
      <c r="C179" s="89"/>
      <c r="D179" s="65"/>
      <c r="E179" s="65"/>
      <c r="F179" s="65"/>
      <c r="G179" s="65"/>
      <c r="H179" s="65"/>
      <c r="I179" s="65"/>
      <c r="J179" s="44">
        <v>0</v>
      </c>
      <c r="K179" s="44">
        <v>0</v>
      </c>
      <c r="L179" s="44">
        <v>0</v>
      </c>
      <c r="M179" s="17"/>
      <c r="N179" s="60"/>
      <c r="O179" s="60" t="str">
        <f t="shared" si="14"/>
        <v/>
      </c>
      <c r="P179" s="61" t="str">
        <f t="shared" si="13"/>
        <v>-</v>
      </c>
      <c r="Q179" s="61"/>
      <c r="R179" s="61"/>
      <c r="S179" s="61"/>
      <c r="T179" s="61"/>
      <c r="U179" s="61"/>
    </row>
    <row r="180" spans="1:21" s="62" customFormat="1" ht="35.1" customHeight="1">
      <c r="A180" s="63"/>
      <c r="B180" s="163"/>
      <c r="C180" s="89"/>
      <c r="D180" s="65"/>
      <c r="E180" s="65"/>
      <c r="F180" s="65"/>
      <c r="G180" s="65"/>
      <c r="H180" s="65"/>
      <c r="I180" s="65"/>
      <c r="J180" s="44">
        <v>0</v>
      </c>
      <c r="K180" s="44">
        <v>0</v>
      </c>
      <c r="L180" s="44">
        <v>0</v>
      </c>
      <c r="M180" s="17"/>
      <c r="N180" s="60"/>
      <c r="O180" s="60" t="str">
        <f t="shared" si="14"/>
        <v/>
      </c>
      <c r="P180" s="61" t="str">
        <f t="shared" si="13"/>
        <v>-</v>
      </c>
      <c r="Q180" s="61"/>
      <c r="R180" s="61"/>
      <c r="S180" s="61"/>
      <c r="T180" s="61"/>
      <c r="U180" s="61"/>
    </row>
    <row r="181" spans="1:21" s="62" customFormat="1" ht="35.1" customHeight="1">
      <c r="A181" s="63"/>
      <c r="B181" s="163"/>
      <c r="C181" s="89"/>
      <c r="D181" s="65"/>
      <c r="E181" s="65"/>
      <c r="F181" s="65"/>
      <c r="G181" s="65"/>
      <c r="H181" s="65"/>
      <c r="I181" s="65"/>
      <c r="J181" s="44"/>
      <c r="K181" s="44"/>
      <c r="L181" s="44"/>
      <c r="M181" s="17"/>
      <c r="N181" s="60"/>
      <c r="O181" s="60" t="str">
        <f t="shared" si="14"/>
        <v/>
      </c>
      <c r="P181" s="61" t="str">
        <f t="shared" si="13"/>
        <v>-</v>
      </c>
      <c r="Q181" s="61"/>
      <c r="R181" s="61"/>
      <c r="S181" s="61"/>
      <c r="T181" s="61"/>
      <c r="U181" s="61"/>
    </row>
    <row r="182" spans="1:21" s="62" customFormat="1" ht="35.1" customHeight="1">
      <c r="A182" s="63"/>
      <c r="B182" s="163"/>
      <c r="C182" s="89"/>
      <c r="D182" s="65"/>
      <c r="E182" s="65"/>
      <c r="F182" s="65"/>
      <c r="G182" s="65"/>
      <c r="H182" s="65"/>
      <c r="I182" s="65"/>
      <c r="J182" s="44"/>
      <c r="K182" s="44"/>
      <c r="L182" s="44"/>
      <c r="M182" s="17"/>
      <c r="N182" s="60"/>
      <c r="O182" s="60" t="str">
        <f t="shared" si="14"/>
        <v/>
      </c>
      <c r="P182" s="61" t="str">
        <f t="shared" si="13"/>
        <v>-</v>
      </c>
      <c r="Q182" s="61"/>
      <c r="R182" s="61"/>
      <c r="S182" s="61"/>
      <c r="T182" s="61"/>
      <c r="U182" s="61"/>
    </row>
    <row r="183" spans="1:21" s="62" customFormat="1" ht="35.1" customHeight="1">
      <c r="A183" s="63"/>
      <c r="B183" s="163"/>
      <c r="C183" s="89"/>
      <c r="D183" s="65"/>
      <c r="E183" s="65"/>
      <c r="F183" s="65"/>
      <c r="G183" s="65"/>
      <c r="H183" s="65"/>
      <c r="I183" s="65"/>
      <c r="J183" s="44"/>
      <c r="K183" s="44"/>
      <c r="L183" s="44"/>
      <c r="M183" s="17"/>
      <c r="N183" s="60"/>
      <c r="O183" s="60" t="str">
        <f t="shared" si="14"/>
        <v/>
      </c>
      <c r="P183" s="61" t="str">
        <f t="shared" si="13"/>
        <v>-</v>
      </c>
      <c r="Q183" s="61"/>
      <c r="R183" s="61"/>
      <c r="S183" s="61"/>
      <c r="T183" s="61"/>
      <c r="U183" s="61"/>
    </row>
    <row r="184" spans="1:21" s="62" customFormat="1" ht="35.1" customHeight="1">
      <c r="A184" s="63"/>
      <c r="B184" s="163"/>
      <c r="C184" s="89"/>
      <c r="D184" s="65"/>
      <c r="E184" s="65"/>
      <c r="F184" s="65"/>
      <c r="G184" s="65"/>
      <c r="H184" s="65"/>
      <c r="I184" s="65"/>
      <c r="J184" s="44">
        <v>0</v>
      </c>
      <c r="K184" s="44">
        <v>0</v>
      </c>
      <c r="L184" s="44">
        <v>0</v>
      </c>
      <c r="M184" s="17"/>
      <c r="N184" s="60"/>
      <c r="O184" s="60" t="str">
        <f t="shared" si="14"/>
        <v/>
      </c>
      <c r="P184" s="61" t="str">
        <f t="shared" si="13"/>
        <v>-</v>
      </c>
      <c r="Q184" s="61"/>
      <c r="R184" s="61"/>
      <c r="S184" s="61"/>
      <c r="T184" s="61"/>
      <c r="U184" s="61"/>
    </row>
    <row r="185" spans="1:21" s="62" customFormat="1" ht="35.1" customHeight="1">
      <c r="A185" s="63"/>
      <c r="B185" s="163"/>
      <c r="C185" s="89"/>
      <c r="D185" s="65"/>
      <c r="E185" s="65"/>
      <c r="F185" s="65"/>
      <c r="G185" s="65"/>
      <c r="H185" s="65"/>
      <c r="I185" s="65"/>
      <c r="J185" s="44">
        <v>0</v>
      </c>
      <c r="K185" s="44">
        <v>0</v>
      </c>
      <c r="L185" s="44">
        <v>0</v>
      </c>
      <c r="M185" s="17"/>
      <c r="N185" s="60"/>
      <c r="O185" s="60" t="str">
        <f t="shared" si="14"/>
        <v/>
      </c>
      <c r="P185" s="61" t="str">
        <f t="shared" si="13"/>
        <v>-</v>
      </c>
      <c r="Q185" s="61"/>
      <c r="R185" s="61"/>
      <c r="S185" s="61"/>
      <c r="T185" s="61"/>
      <c r="U185" s="61"/>
    </row>
    <row r="186" spans="1:21" s="62" customFormat="1" ht="35.1" customHeight="1">
      <c r="A186" s="63"/>
      <c r="B186" s="163"/>
      <c r="C186" s="64"/>
      <c r="D186" s="65"/>
      <c r="E186" s="65"/>
      <c r="F186" s="65"/>
      <c r="G186" s="65"/>
      <c r="H186" s="65"/>
      <c r="I186" s="65"/>
      <c r="J186" s="44"/>
      <c r="K186" s="44"/>
      <c r="L186" s="44"/>
      <c r="M186" s="17"/>
      <c r="N186" s="60"/>
      <c r="O186" s="60" t="str">
        <f t="shared" si="14"/>
        <v/>
      </c>
      <c r="P186" s="61" t="str">
        <f t="shared" si="13"/>
        <v>-</v>
      </c>
      <c r="Q186" s="61"/>
      <c r="R186" s="61"/>
      <c r="S186" s="61"/>
      <c r="T186" s="61"/>
      <c r="U186" s="61"/>
    </row>
    <row r="187" spans="1:21" s="62" customFormat="1" ht="35.1" customHeight="1">
      <c r="A187" s="63"/>
      <c r="B187" s="163"/>
      <c r="C187" s="64"/>
      <c r="D187" s="65"/>
      <c r="E187" s="65"/>
      <c r="F187" s="65"/>
      <c r="G187" s="65"/>
      <c r="H187" s="65"/>
      <c r="I187" s="65"/>
      <c r="J187" s="44"/>
      <c r="K187" s="44"/>
      <c r="L187" s="44"/>
      <c r="M187" s="17"/>
      <c r="N187" s="60"/>
      <c r="O187" s="60" t="str">
        <f t="shared" si="14"/>
        <v/>
      </c>
      <c r="P187" s="61" t="str">
        <f t="shared" si="13"/>
        <v>-</v>
      </c>
      <c r="Q187" s="61"/>
      <c r="R187" s="61"/>
      <c r="S187" s="61"/>
      <c r="T187" s="61"/>
      <c r="U187" s="61"/>
    </row>
    <row r="188" spans="1:21" s="62" customFormat="1" ht="35.1" customHeight="1">
      <c r="A188" s="63"/>
      <c r="B188" s="163"/>
      <c r="C188" s="64"/>
      <c r="D188" s="65"/>
      <c r="E188" s="65"/>
      <c r="F188" s="65"/>
      <c r="G188" s="65"/>
      <c r="H188" s="65"/>
      <c r="I188" s="65"/>
      <c r="J188" s="44"/>
      <c r="K188" s="44"/>
      <c r="L188" s="44"/>
      <c r="M188" s="17"/>
      <c r="N188" s="60"/>
      <c r="O188" s="60" t="str">
        <f t="shared" si="14"/>
        <v/>
      </c>
      <c r="P188" s="61" t="str">
        <f t="shared" si="13"/>
        <v>-</v>
      </c>
      <c r="Q188" s="61"/>
      <c r="R188" s="61"/>
      <c r="S188" s="61"/>
      <c r="T188" s="61"/>
      <c r="U188" s="61"/>
    </row>
    <row r="189" spans="1:21" s="62" customFormat="1" ht="35.1" customHeight="1">
      <c r="A189" s="63"/>
      <c r="B189" s="163"/>
      <c r="C189" s="64"/>
      <c r="D189" s="65"/>
      <c r="E189" s="65"/>
      <c r="F189" s="65"/>
      <c r="G189" s="65"/>
      <c r="H189" s="65"/>
      <c r="I189" s="65"/>
      <c r="J189" s="44"/>
      <c r="K189" s="44"/>
      <c r="L189" s="44"/>
      <c r="M189" s="17"/>
      <c r="N189" s="60"/>
      <c r="O189" s="60" t="str">
        <f t="shared" si="14"/>
        <v/>
      </c>
      <c r="P189" s="61" t="str">
        <f t="shared" si="13"/>
        <v>-</v>
      </c>
      <c r="Q189" s="61"/>
      <c r="R189" s="61"/>
      <c r="S189" s="61"/>
      <c r="T189" s="61"/>
      <c r="U189" s="61"/>
    </row>
    <row r="190" spans="1:21" s="62" customFormat="1" ht="35.1" customHeight="1">
      <c r="A190" s="63"/>
      <c r="B190" s="163"/>
      <c r="C190" s="64"/>
      <c r="D190" s="65"/>
      <c r="E190" s="65"/>
      <c r="F190" s="65"/>
      <c r="G190" s="65"/>
      <c r="H190" s="65"/>
      <c r="I190" s="65"/>
      <c r="J190" s="44"/>
      <c r="K190" s="44"/>
      <c r="L190" s="44"/>
      <c r="M190" s="17"/>
      <c r="N190" s="60"/>
      <c r="O190" s="60" t="str">
        <f t="shared" si="14"/>
        <v/>
      </c>
      <c r="P190" s="61" t="str">
        <f t="shared" si="13"/>
        <v>-</v>
      </c>
      <c r="Q190" s="61"/>
      <c r="R190" s="61"/>
      <c r="S190" s="61"/>
      <c r="T190" s="61"/>
      <c r="U190" s="61"/>
    </row>
    <row r="191" spans="1:21" s="62" customFormat="1" ht="35.1" customHeight="1">
      <c r="A191" s="63"/>
      <c r="B191" s="163"/>
      <c r="C191" s="64"/>
      <c r="D191" s="65"/>
      <c r="E191" s="65"/>
      <c r="F191" s="65"/>
      <c r="G191" s="65"/>
      <c r="H191" s="65"/>
      <c r="I191" s="65"/>
      <c r="J191" s="44"/>
      <c r="K191" s="44"/>
      <c r="L191" s="44"/>
      <c r="M191" s="17"/>
      <c r="N191" s="60"/>
      <c r="O191" s="60" t="str">
        <f t="shared" si="14"/>
        <v/>
      </c>
      <c r="P191" s="61" t="str">
        <f t="shared" si="13"/>
        <v>-</v>
      </c>
      <c r="Q191" s="61"/>
      <c r="R191" s="61"/>
      <c r="S191" s="61"/>
      <c r="T191" s="61"/>
      <c r="U191" s="61"/>
    </row>
    <row r="192" spans="1:21" s="62" customFormat="1" ht="35.1" customHeight="1">
      <c r="A192" s="63"/>
      <c r="B192" s="163"/>
      <c r="C192" s="64"/>
      <c r="D192" s="65"/>
      <c r="E192" s="65"/>
      <c r="F192" s="65"/>
      <c r="G192" s="65"/>
      <c r="H192" s="65"/>
      <c r="I192" s="65"/>
      <c r="J192" s="44"/>
      <c r="K192" s="44"/>
      <c r="L192" s="44"/>
      <c r="M192" s="17"/>
      <c r="N192" s="60"/>
      <c r="O192" s="60" t="str">
        <f t="shared" si="14"/>
        <v/>
      </c>
      <c r="P192" s="61" t="str">
        <f t="shared" si="13"/>
        <v>-</v>
      </c>
      <c r="Q192" s="61"/>
      <c r="R192" s="61"/>
      <c r="S192" s="61"/>
      <c r="T192" s="61"/>
      <c r="U192" s="61"/>
    </row>
    <row r="193" spans="1:77" s="62" customFormat="1" ht="35.1" customHeight="1">
      <c r="A193" s="63"/>
      <c r="B193" s="163"/>
      <c r="C193" s="64"/>
      <c r="D193" s="65"/>
      <c r="E193" s="65"/>
      <c r="F193" s="65"/>
      <c r="G193" s="65"/>
      <c r="H193" s="65"/>
      <c r="I193" s="65"/>
      <c r="J193" s="44"/>
      <c r="K193" s="44"/>
      <c r="L193" s="44"/>
      <c r="M193" s="17"/>
      <c r="N193" s="60"/>
      <c r="O193" s="60" t="str">
        <f t="shared" si="14"/>
        <v/>
      </c>
      <c r="P193" s="61" t="str">
        <f t="shared" si="13"/>
        <v>-</v>
      </c>
      <c r="Q193" s="61"/>
      <c r="R193" s="61"/>
      <c r="S193" s="61"/>
      <c r="T193" s="61"/>
      <c r="U193" s="61"/>
    </row>
    <row r="194" spans="1:77" s="62" customFormat="1" ht="35.1" customHeight="1">
      <c r="A194" s="63"/>
      <c r="B194" s="163"/>
      <c r="C194" s="64"/>
      <c r="D194" s="65"/>
      <c r="E194" s="65"/>
      <c r="F194" s="65"/>
      <c r="G194" s="65"/>
      <c r="H194" s="65"/>
      <c r="I194" s="65"/>
      <c r="J194" s="44"/>
      <c r="K194" s="44"/>
      <c r="L194" s="44"/>
      <c r="M194" s="17"/>
      <c r="N194" s="60"/>
      <c r="O194" s="60" t="str">
        <f t="shared" si="14"/>
        <v/>
      </c>
      <c r="P194" s="61" t="str">
        <f t="shared" si="13"/>
        <v>-</v>
      </c>
      <c r="Q194" s="61"/>
      <c r="R194" s="61"/>
      <c r="S194" s="61"/>
      <c r="T194" s="61"/>
      <c r="U194" s="61"/>
    </row>
    <row r="195" spans="1:77" s="73" customFormat="1" ht="35.1" customHeight="1">
      <c r="A195" s="66" t="s">
        <v>41</v>
      </c>
      <c r="B195" s="67"/>
      <c r="C195" s="67"/>
      <c r="D195" s="68"/>
      <c r="E195" s="69"/>
      <c r="F195" s="69"/>
      <c r="G195" s="69">
        <f>SUM(G175:G194)</f>
        <v>0</v>
      </c>
      <c r="H195" s="70"/>
      <c r="I195" s="70"/>
      <c r="J195" s="70"/>
      <c r="K195" s="70"/>
      <c r="L195" s="70"/>
      <c r="M195" s="71"/>
      <c r="N195" s="60"/>
      <c r="O195" s="60" t="str">
        <f t="shared" si="14"/>
        <v/>
      </c>
      <c r="P195" s="61"/>
      <c r="Q195" s="61"/>
      <c r="R195" s="61"/>
      <c r="S195" s="61"/>
      <c r="T195" s="61"/>
      <c r="U195" s="61"/>
      <c r="V195" s="72"/>
      <c r="W195" s="72"/>
      <c r="X195" s="72"/>
      <c r="Y195" s="72"/>
      <c r="Z195" s="72"/>
      <c r="AA195" s="72"/>
      <c r="AB195" s="72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  <c r="AM195" s="72"/>
      <c r="AN195" s="72"/>
      <c r="AO195" s="72"/>
      <c r="AP195" s="72"/>
      <c r="AQ195" s="72"/>
      <c r="AR195" s="72"/>
      <c r="AS195" s="72"/>
      <c r="AT195" s="72"/>
      <c r="AU195" s="72"/>
      <c r="AV195" s="72"/>
      <c r="AW195" s="72"/>
      <c r="AX195" s="72"/>
      <c r="AY195" s="72"/>
      <c r="AZ195" s="72"/>
      <c r="BA195" s="72"/>
      <c r="BB195" s="72"/>
      <c r="BC195" s="72"/>
      <c r="BD195" s="72"/>
      <c r="BE195" s="72"/>
      <c r="BF195" s="72"/>
      <c r="BG195" s="72"/>
      <c r="BH195" s="72"/>
      <c r="BI195" s="72"/>
      <c r="BJ195" s="72"/>
      <c r="BK195" s="72"/>
      <c r="BL195" s="72"/>
      <c r="BM195" s="72"/>
      <c r="BN195" s="72"/>
      <c r="BO195" s="72"/>
      <c r="BP195" s="72"/>
      <c r="BQ195" s="72"/>
      <c r="BR195" s="72"/>
      <c r="BS195" s="72"/>
      <c r="BT195" s="72"/>
      <c r="BU195" s="72"/>
      <c r="BV195" s="72"/>
      <c r="BW195" s="72"/>
      <c r="BX195" s="72"/>
      <c r="BY195" s="72"/>
    </row>
    <row r="196" spans="1:77" s="62" customFormat="1" ht="35.1" customHeight="1">
      <c r="A196" s="58"/>
      <c r="B196" s="161"/>
      <c r="C196" s="82"/>
      <c r="D196" s="59"/>
      <c r="E196" s="59"/>
      <c r="F196" s="59"/>
      <c r="G196" s="59"/>
      <c r="H196" s="59"/>
      <c r="I196" s="59"/>
      <c r="J196" s="43"/>
      <c r="K196" s="43"/>
      <c r="L196" s="43"/>
      <c r="M196" s="16"/>
      <c r="N196" s="60"/>
      <c r="O196" s="60" t="str">
        <f t="shared" si="14"/>
        <v/>
      </c>
      <c r="P196" s="61" t="str">
        <f t="shared" ref="P196:P215" si="15">IF(E196&gt;=G196,"-","err")</f>
        <v>-</v>
      </c>
      <c r="Q196" s="61"/>
      <c r="R196" s="61"/>
      <c r="S196" s="61"/>
      <c r="T196" s="61"/>
      <c r="U196" s="61"/>
    </row>
    <row r="197" spans="1:77" s="62" customFormat="1" ht="35.1" customHeight="1">
      <c r="A197" s="92"/>
      <c r="B197" s="162"/>
      <c r="C197" s="96"/>
      <c r="D197" s="93"/>
      <c r="E197" s="93"/>
      <c r="F197" s="93"/>
      <c r="G197" s="93"/>
      <c r="H197" s="93"/>
      <c r="I197" s="93"/>
      <c r="J197" s="94"/>
      <c r="K197" s="94"/>
      <c r="L197" s="94"/>
      <c r="M197" s="95"/>
      <c r="N197" s="60"/>
      <c r="O197" s="60" t="str">
        <f t="shared" si="14"/>
        <v/>
      </c>
      <c r="P197" s="61" t="str">
        <f t="shared" si="15"/>
        <v>-</v>
      </c>
      <c r="Q197" s="61"/>
      <c r="R197" s="61"/>
      <c r="S197" s="61"/>
      <c r="T197" s="61"/>
      <c r="U197" s="61"/>
    </row>
    <row r="198" spans="1:77" s="62" customFormat="1" ht="35.1" customHeight="1">
      <c r="A198" s="63"/>
      <c r="B198" s="163"/>
      <c r="C198" s="83"/>
      <c r="D198" s="65"/>
      <c r="E198" s="65"/>
      <c r="F198" s="65"/>
      <c r="G198" s="65"/>
      <c r="H198" s="65"/>
      <c r="I198" s="65"/>
      <c r="J198" s="44"/>
      <c r="K198" s="44">
        <v>0</v>
      </c>
      <c r="L198" s="44">
        <v>0</v>
      </c>
      <c r="M198" s="17"/>
      <c r="N198" s="60"/>
      <c r="O198" s="60" t="str">
        <f t="shared" si="14"/>
        <v/>
      </c>
      <c r="P198" s="61" t="str">
        <f t="shared" si="15"/>
        <v>-</v>
      </c>
      <c r="Q198" s="61"/>
      <c r="R198" s="61"/>
      <c r="S198" s="61"/>
      <c r="T198" s="61"/>
      <c r="U198" s="61"/>
    </row>
    <row r="199" spans="1:77" s="62" customFormat="1" ht="35.1" customHeight="1">
      <c r="A199" s="63"/>
      <c r="B199" s="163"/>
      <c r="C199" s="84"/>
      <c r="D199" s="65"/>
      <c r="E199" s="65"/>
      <c r="F199" s="65"/>
      <c r="G199" s="65"/>
      <c r="H199" s="65"/>
      <c r="I199" s="65"/>
      <c r="J199" s="44"/>
      <c r="K199" s="44">
        <v>0</v>
      </c>
      <c r="L199" s="44">
        <v>0</v>
      </c>
      <c r="M199" s="17"/>
      <c r="N199" s="60"/>
      <c r="O199" s="60" t="str">
        <f t="shared" si="14"/>
        <v/>
      </c>
      <c r="P199" s="61" t="str">
        <f t="shared" si="15"/>
        <v>-</v>
      </c>
      <c r="Q199" s="61"/>
      <c r="R199" s="61"/>
      <c r="S199" s="61"/>
      <c r="T199" s="61"/>
      <c r="U199" s="61"/>
    </row>
    <row r="200" spans="1:77" s="62" customFormat="1" ht="35.1" customHeight="1">
      <c r="A200" s="63"/>
      <c r="B200" s="163"/>
      <c r="C200" s="89"/>
      <c r="D200" s="65"/>
      <c r="E200" s="65"/>
      <c r="F200" s="65"/>
      <c r="G200" s="65"/>
      <c r="H200" s="65"/>
      <c r="I200" s="65"/>
      <c r="J200" s="44"/>
      <c r="K200" s="44">
        <v>0</v>
      </c>
      <c r="L200" s="44">
        <v>0</v>
      </c>
      <c r="M200" s="17"/>
      <c r="N200" s="60"/>
      <c r="O200" s="60" t="str">
        <f t="shared" si="14"/>
        <v/>
      </c>
      <c r="P200" s="61" t="str">
        <f t="shared" si="15"/>
        <v>-</v>
      </c>
      <c r="Q200" s="61"/>
      <c r="R200" s="61"/>
      <c r="S200" s="61"/>
      <c r="T200" s="61"/>
      <c r="U200" s="61"/>
    </row>
    <row r="201" spans="1:77" s="62" customFormat="1" ht="35.1" customHeight="1">
      <c r="A201" s="63"/>
      <c r="B201" s="163"/>
      <c r="C201" s="89"/>
      <c r="D201" s="65"/>
      <c r="E201" s="65"/>
      <c r="F201" s="65"/>
      <c r="G201" s="65"/>
      <c r="H201" s="65"/>
      <c r="I201" s="65"/>
      <c r="J201" s="44"/>
      <c r="K201" s="44">
        <v>0</v>
      </c>
      <c r="L201" s="44">
        <v>0</v>
      </c>
      <c r="M201" s="17"/>
      <c r="N201" s="60"/>
      <c r="O201" s="60" t="str">
        <f t="shared" si="14"/>
        <v/>
      </c>
      <c r="P201" s="61" t="str">
        <f t="shared" si="15"/>
        <v>-</v>
      </c>
      <c r="Q201" s="61"/>
      <c r="R201" s="61"/>
      <c r="S201" s="61"/>
      <c r="T201" s="61"/>
      <c r="U201" s="61"/>
    </row>
    <row r="202" spans="1:77" s="62" customFormat="1" ht="35.1" customHeight="1">
      <c r="A202" s="63"/>
      <c r="B202" s="163"/>
      <c r="C202" s="89"/>
      <c r="D202" s="65"/>
      <c r="E202" s="65"/>
      <c r="F202" s="65"/>
      <c r="G202" s="65"/>
      <c r="H202" s="65"/>
      <c r="I202" s="65"/>
      <c r="J202" s="44"/>
      <c r="K202" s="44">
        <v>0</v>
      </c>
      <c r="L202" s="44">
        <v>0</v>
      </c>
      <c r="M202" s="17"/>
      <c r="N202" s="60"/>
      <c r="O202" s="60" t="str">
        <f t="shared" si="14"/>
        <v/>
      </c>
      <c r="P202" s="61" t="str">
        <f t="shared" si="15"/>
        <v>-</v>
      </c>
      <c r="Q202" s="61"/>
      <c r="R202" s="61"/>
      <c r="S202" s="61"/>
      <c r="T202" s="61"/>
      <c r="U202" s="61"/>
    </row>
    <row r="203" spans="1:77" s="62" customFormat="1" ht="35.1" customHeight="1">
      <c r="A203" s="63"/>
      <c r="B203" s="163"/>
      <c r="C203" s="89"/>
      <c r="D203" s="65"/>
      <c r="E203" s="65"/>
      <c r="F203" s="65"/>
      <c r="G203" s="65"/>
      <c r="H203" s="65"/>
      <c r="I203" s="65"/>
      <c r="J203" s="44"/>
      <c r="K203" s="44"/>
      <c r="L203" s="44"/>
      <c r="M203" s="17"/>
      <c r="N203" s="60"/>
      <c r="O203" s="60" t="str">
        <f t="shared" si="14"/>
        <v/>
      </c>
      <c r="P203" s="61" t="str">
        <f t="shared" si="15"/>
        <v>-</v>
      </c>
      <c r="Q203" s="61"/>
      <c r="R203" s="61"/>
      <c r="S203" s="61"/>
      <c r="T203" s="61"/>
      <c r="U203" s="61"/>
    </row>
    <row r="204" spans="1:77" s="62" customFormat="1" ht="35.1" customHeight="1">
      <c r="A204" s="63"/>
      <c r="B204" s="163"/>
      <c r="C204" s="89"/>
      <c r="D204" s="65"/>
      <c r="E204" s="65"/>
      <c r="F204" s="65"/>
      <c r="G204" s="65"/>
      <c r="H204" s="65"/>
      <c r="I204" s="65"/>
      <c r="J204" s="44"/>
      <c r="K204" s="44">
        <v>0</v>
      </c>
      <c r="L204" s="44">
        <v>0</v>
      </c>
      <c r="M204" s="17"/>
      <c r="N204" s="60"/>
      <c r="O204" s="60" t="str">
        <f t="shared" si="14"/>
        <v/>
      </c>
      <c r="P204" s="61" t="str">
        <f t="shared" si="15"/>
        <v>-</v>
      </c>
      <c r="Q204" s="61"/>
      <c r="R204" s="61"/>
      <c r="S204" s="61"/>
      <c r="T204" s="61"/>
      <c r="U204" s="61"/>
    </row>
    <row r="205" spans="1:77" s="62" customFormat="1" ht="35.1" customHeight="1">
      <c r="A205" s="63"/>
      <c r="B205" s="163"/>
      <c r="C205" s="89"/>
      <c r="D205" s="65"/>
      <c r="E205" s="65"/>
      <c r="F205" s="65"/>
      <c r="G205" s="65"/>
      <c r="H205" s="65"/>
      <c r="I205" s="65"/>
      <c r="J205" s="44"/>
      <c r="K205" s="44">
        <v>0</v>
      </c>
      <c r="L205" s="44">
        <v>0</v>
      </c>
      <c r="M205" s="17"/>
      <c r="N205" s="60"/>
      <c r="O205" s="60" t="str">
        <f t="shared" si="14"/>
        <v/>
      </c>
      <c r="P205" s="61" t="str">
        <f t="shared" si="15"/>
        <v>-</v>
      </c>
      <c r="Q205" s="61"/>
      <c r="R205" s="61"/>
      <c r="S205" s="61"/>
      <c r="T205" s="61"/>
      <c r="U205" s="61"/>
    </row>
    <row r="206" spans="1:77" s="62" customFormat="1" ht="35.1" customHeight="1">
      <c r="A206" s="63"/>
      <c r="B206" s="163"/>
      <c r="C206" s="89"/>
      <c r="D206" s="65"/>
      <c r="E206" s="65"/>
      <c r="F206" s="65"/>
      <c r="G206" s="65"/>
      <c r="H206" s="65"/>
      <c r="I206" s="65"/>
      <c r="J206" s="44"/>
      <c r="K206" s="44">
        <v>0</v>
      </c>
      <c r="L206" s="44">
        <v>0</v>
      </c>
      <c r="M206" s="17"/>
      <c r="N206" s="60"/>
      <c r="O206" s="60" t="str">
        <f t="shared" si="14"/>
        <v/>
      </c>
      <c r="P206" s="61" t="str">
        <f t="shared" si="15"/>
        <v>-</v>
      </c>
      <c r="Q206" s="61"/>
      <c r="R206" s="61"/>
      <c r="S206" s="61"/>
      <c r="T206" s="61"/>
      <c r="U206" s="61"/>
    </row>
    <row r="207" spans="1:77" s="62" customFormat="1" ht="35.1" customHeight="1">
      <c r="A207" s="63"/>
      <c r="B207" s="163"/>
      <c r="C207" s="64"/>
      <c r="D207" s="65"/>
      <c r="E207" s="65"/>
      <c r="F207" s="65"/>
      <c r="G207" s="65"/>
      <c r="H207" s="65"/>
      <c r="I207" s="65"/>
      <c r="J207" s="44"/>
      <c r="K207" s="44"/>
      <c r="L207" s="44"/>
      <c r="M207" s="17"/>
      <c r="N207" s="60"/>
      <c r="O207" s="60" t="str">
        <f t="shared" si="14"/>
        <v/>
      </c>
      <c r="P207" s="61" t="str">
        <f t="shared" si="15"/>
        <v>-</v>
      </c>
      <c r="Q207" s="61"/>
      <c r="R207" s="61"/>
      <c r="S207" s="61"/>
      <c r="T207" s="61"/>
      <c r="U207" s="61"/>
    </row>
    <row r="208" spans="1:77" s="62" customFormat="1" ht="35.1" customHeight="1">
      <c r="A208" s="63"/>
      <c r="B208" s="163"/>
      <c r="C208" s="64"/>
      <c r="D208" s="65"/>
      <c r="E208" s="65"/>
      <c r="F208" s="65"/>
      <c r="G208" s="65"/>
      <c r="H208" s="65"/>
      <c r="I208" s="65"/>
      <c r="J208" s="44"/>
      <c r="K208" s="44"/>
      <c r="L208" s="44"/>
      <c r="M208" s="17"/>
      <c r="N208" s="60"/>
      <c r="O208" s="60" t="str">
        <f t="shared" si="14"/>
        <v/>
      </c>
      <c r="P208" s="61" t="str">
        <f t="shared" si="15"/>
        <v>-</v>
      </c>
      <c r="Q208" s="61"/>
      <c r="R208" s="61"/>
      <c r="S208" s="61"/>
      <c r="T208" s="61"/>
      <c r="U208" s="61"/>
    </row>
    <row r="209" spans="1:77" s="62" customFormat="1" ht="35.1" customHeight="1">
      <c r="A209" s="63"/>
      <c r="B209" s="163"/>
      <c r="C209" s="64"/>
      <c r="D209" s="65"/>
      <c r="E209" s="65"/>
      <c r="F209" s="65"/>
      <c r="G209" s="65"/>
      <c r="H209" s="65"/>
      <c r="I209" s="65"/>
      <c r="J209" s="44"/>
      <c r="K209" s="44"/>
      <c r="L209" s="44"/>
      <c r="M209" s="17"/>
      <c r="N209" s="60"/>
      <c r="O209" s="60" t="str">
        <f t="shared" si="14"/>
        <v/>
      </c>
      <c r="P209" s="61" t="str">
        <f t="shared" si="15"/>
        <v>-</v>
      </c>
      <c r="Q209" s="61"/>
      <c r="R209" s="61"/>
      <c r="S209" s="61"/>
      <c r="T209" s="61"/>
      <c r="U209" s="61"/>
    </row>
    <row r="210" spans="1:77" s="62" customFormat="1" ht="35.1" customHeight="1">
      <c r="A210" s="63"/>
      <c r="B210" s="163"/>
      <c r="C210" s="64"/>
      <c r="D210" s="65"/>
      <c r="E210" s="65"/>
      <c r="F210" s="65"/>
      <c r="G210" s="65"/>
      <c r="H210" s="65"/>
      <c r="I210" s="65"/>
      <c r="J210" s="44"/>
      <c r="K210" s="44"/>
      <c r="L210" s="44"/>
      <c r="M210" s="17"/>
      <c r="N210" s="60"/>
      <c r="O210" s="60" t="str">
        <f t="shared" si="14"/>
        <v/>
      </c>
      <c r="P210" s="61" t="str">
        <f t="shared" si="15"/>
        <v>-</v>
      </c>
      <c r="Q210" s="61"/>
      <c r="R210" s="61"/>
      <c r="S210" s="61"/>
      <c r="T210" s="61"/>
      <c r="U210" s="61"/>
    </row>
    <row r="211" spans="1:77" s="62" customFormat="1" ht="35.1" customHeight="1">
      <c r="A211" s="63"/>
      <c r="B211" s="163"/>
      <c r="C211" s="64"/>
      <c r="D211" s="65"/>
      <c r="E211" s="65"/>
      <c r="F211" s="65"/>
      <c r="G211" s="65"/>
      <c r="H211" s="65"/>
      <c r="I211" s="65"/>
      <c r="J211" s="44"/>
      <c r="K211" s="44"/>
      <c r="L211" s="44"/>
      <c r="M211" s="17"/>
      <c r="N211" s="60"/>
      <c r="O211" s="60" t="str">
        <f t="shared" si="14"/>
        <v/>
      </c>
      <c r="P211" s="61" t="str">
        <f t="shared" si="15"/>
        <v>-</v>
      </c>
      <c r="Q211" s="61"/>
      <c r="R211" s="61"/>
      <c r="S211" s="61"/>
      <c r="T211" s="61"/>
      <c r="U211" s="61"/>
    </row>
    <row r="212" spans="1:77" s="62" customFormat="1" ht="35.1" customHeight="1">
      <c r="A212" s="63"/>
      <c r="B212" s="163"/>
      <c r="C212" s="64"/>
      <c r="D212" s="65"/>
      <c r="E212" s="65"/>
      <c r="F212" s="65"/>
      <c r="G212" s="65"/>
      <c r="H212" s="65"/>
      <c r="I212" s="65"/>
      <c r="J212" s="44"/>
      <c r="K212" s="44"/>
      <c r="L212" s="44"/>
      <c r="M212" s="17"/>
      <c r="N212" s="60"/>
      <c r="O212" s="60" t="str">
        <f t="shared" si="14"/>
        <v/>
      </c>
      <c r="P212" s="61" t="str">
        <f t="shared" si="15"/>
        <v>-</v>
      </c>
      <c r="Q212" s="61"/>
      <c r="R212" s="61"/>
      <c r="S212" s="61"/>
      <c r="T212" s="61"/>
      <c r="U212" s="61"/>
    </row>
    <row r="213" spans="1:77" s="62" customFormat="1" ht="35.1" customHeight="1">
      <c r="A213" s="63"/>
      <c r="B213" s="163"/>
      <c r="C213" s="64"/>
      <c r="D213" s="65"/>
      <c r="E213" s="65"/>
      <c r="F213" s="65"/>
      <c r="G213" s="65"/>
      <c r="H213" s="65"/>
      <c r="I213" s="65"/>
      <c r="J213" s="44"/>
      <c r="K213" s="44"/>
      <c r="L213" s="44"/>
      <c r="M213" s="17"/>
      <c r="N213" s="60"/>
      <c r="O213" s="60" t="str">
        <f t="shared" si="14"/>
        <v/>
      </c>
      <c r="P213" s="61" t="str">
        <f t="shared" si="15"/>
        <v>-</v>
      </c>
      <c r="Q213" s="61"/>
      <c r="R213" s="61"/>
      <c r="S213" s="61"/>
      <c r="T213" s="61"/>
      <c r="U213" s="61"/>
    </row>
    <row r="214" spans="1:77" s="62" customFormat="1" ht="35.1" customHeight="1">
      <c r="A214" s="63"/>
      <c r="B214" s="163"/>
      <c r="C214" s="64"/>
      <c r="D214" s="65"/>
      <c r="E214" s="65"/>
      <c r="F214" s="65"/>
      <c r="G214" s="65"/>
      <c r="H214" s="65"/>
      <c r="I214" s="65"/>
      <c r="J214" s="44"/>
      <c r="K214" s="44"/>
      <c r="L214" s="44"/>
      <c r="M214" s="17"/>
      <c r="N214" s="60"/>
      <c r="O214" s="60" t="str">
        <f t="shared" si="14"/>
        <v/>
      </c>
      <c r="P214" s="61" t="str">
        <f t="shared" si="15"/>
        <v>-</v>
      </c>
      <c r="Q214" s="61"/>
      <c r="R214" s="61"/>
      <c r="S214" s="61"/>
      <c r="T214" s="61"/>
      <c r="U214" s="61"/>
    </row>
    <row r="215" spans="1:77" s="62" customFormat="1" ht="35.1" customHeight="1">
      <c r="A215" s="63"/>
      <c r="B215" s="163"/>
      <c r="C215" s="64"/>
      <c r="D215" s="65"/>
      <c r="E215" s="65"/>
      <c r="F215" s="65"/>
      <c r="G215" s="65"/>
      <c r="H215" s="65"/>
      <c r="I215" s="65"/>
      <c r="J215" s="44"/>
      <c r="K215" s="44"/>
      <c r="L215" s="44"/>
      <c r="M215" s="17"/>
      <c r="N215" s="60"/>
      <c r="O215" s="60" t="str">
        <f t="shared" si="14"/>
        <v/>
      </c>
      <c r="P215" s="61" t="str">
        <f t="shared" si="15"/>
        <v>-</v>
      </c>
      <c r="Q215" s="61"/>
      <c r="R215" s="61"/>
      <c r="S215" s="61"/>
      <c r="T215" s="61"/>
      <c r="U215" s="61"/>
    </row>
    <row r="216" spans="1:77" s="73" customFormat="1" ht="35.1" customHeight="1">
      <c r="A216" s="66" t="s">
        <v>41</v>
      </c>
      <c r="B216" s="67"/>
      <c r="C216" s="67"/>
      <c r="D216" s="68"/>
      <c r="E216" s="69"/>
      <c r="F216" s="69"/>
      <c r="G216" s="69">
        <f>SUM(G196:G215)</f>
        <v>0</v>
      </c>
      <c r="H216" s="70"/>
      <c r="I216" s="70"/>
      <c r="J216" s="70"/>
      <c r="K216" s="70"/>
      <c r="L216" s="70"/>
      <c r="M216" s="71"/>
      <c r="N216" s="60"/>
      <c r="O216" s="60" t="str">
        <f t="shared" si="14"/>
        <v/>
      </c>
      <c r="P216" s="61"/>
      <c r="Q216" s="61"/>
      <c r="R216" s="61"/>
      <c r="S216" s="61"/>
      <c r="T216" s="61"/>
      <c r="U216" s="61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72"/>
      <c r="AH216" s="72"/>
      <c r="AI216" s="72"/>
      <c r="AJ216" s="72"/>
      <c r="AK216" s="72"/>
      <c r="AL216" s="72"/>
      <c r="AM216" s="72"/>
      <c r="AN216" s="72"/>
      <c r="AO216" s="72"/>
      <c r="AP216" s="72"/>
      <c r="AQ216" s="72"/>
      <c r="AR216" s="72"/>
      <c r="AS216" s="72"/>
      <c r="AT216" s="72"/>
      <c r="AU216" s="72"/>
      <c r="AV216" s="72"/>
      <c r="AW216" s="72"/>
      <c r="AX216" s="72"/>
      <c r="AY216" s="72"/>
      <c r="AZ216" s="72"/>
      <c r="BA216" s="72"/>
      <c r="BB216" s="72"/>
      <c r="BC216" s="72"/>
      <c r="BD216" s="72"/>
      <c r="BE216" s="72"/>
      <c r="BF216" s="72"/>
      <c r="BG216" s="72"/>
      <c r="BH216" s="72"/>
      <c r="BI216" s="72"/>
      <c r="BJ216" s="72"/>
      <c r="BK216" s="72"/>
      <c r="BL216" s="72"/>
      <c r="BM216" s="72"/>
      <c r="BN216" s="72"/>
      <c r="BO216" s="72"/>
      <c r="BP216" s="72"/>
      <c r="BQ216" s="72"/>
      <c r="BR216" s="72"/>
      <c r="BS216" s="72"/>
      <c r="BT216" s="72"/>
      <c r="BU216" s="72"/>
      <c r="BV216" s="72"/>
      <c r="BW216" s="72"/>
      <c r="BX216" s="72"/>
      <c r="BY216" s="72"/>
    </row>
    <row r="217" spans="1:77" s="62" customFormat="1" ht="35.1" customHeight="1">
      <c r="A217" s="58"/>
      <c r="B217" s="161"/>
      <c r="C217" s="82"/>
      <c r="D217" s="59"/>
      <c r="E217" s="59"/>
      <c r="F217" s="59"/>
      <c r="G217" s="59"/>
      <c r="H217" s="59"/>
      <c r="I217" s="59"/>
      <c r="J217" s="43"/>
      <c r="K217" s="43"/>
      <c r="L217" s="43"/>
      <c r="M217" s="16"/>
      <c r="N217" s="60"/>
      <c r="O217" s="60" t="str">
        <f t="shared" si="14"/>
        <v/>
      </c>
      <c r="P217" s="61" t="str">
        <f t="shared" ref="P217:P236" si="16">IF(E217&gt;=G217,"-","err")</f>
        <v>-</v>
      </c>
      <c r="Q217" s="61"/>
      <c r="R217" s="61"/>
      <c r="S217" s="61"/>
      <c r="T217" s="61"/>
      <c r="U217" s="61"/>
    </row>
    <row r="218" spans="1:77" s="62" customFormat="1" ht="35.1" customHeight="1">
      <c r="A218" s="92"/>
      <c r="B218" s="162"/>
      <c r="C218" s="96"/>
      <c r="D218" s="93"/>
      <c r="E218" s="93"/>
      <c r="F218" s="93"/>
      <c r="G218" s="93"/>
      <c r="H218" s="93"/>
      <c r="I218" s="93"/>
      <c r="J218" s="94"/>
      <c r="K218" s="94"/>
      <c r="L218" s="94"/>
      <c r="M218" s="95"/>
      <c r="N218" s="60"/>
      <c r="O218" s="60" t="str">
        <f t="shared" si="14"/>
        <v/>
      </c>
      <c r="P218" s="61" t="str">
        <f t="shared" si="16"/>
        <v>-</v>
      </c>
      <c r="Q218" s="61"/>
      <c r="R218" s="61"/>
      <c r="S218" s="61"/>
      <c r="T218" s="61"/>
      <c r="U218" s="61"/>
    </row>
    <row r="219" spans="1:77" s="62" customFormat="1" ht="35.1" customHeight="1">
      <c r="A219" s="63"/>
      <c r="B219" s="163"/>
      <c r="C219" s="83"/>
      <c r="D219" s="65"/>
      <c r="E219" s="65"/>
      <c r="F219" s="65"/>
      <c r="G219" s="65"/>
      <c r="H219" s="65"/>
      <c r="I219" s="65"/>
      <c r="J219" s="44">
        <v>0</v>
      </c>
      <c r="K219" s="44">
        <v>0</v>
      </c>
      <c r="L219" s="44">
        <v>0</v>
      </c>
      <c r="M219" s="17"/>
      <c r="N219" s="60"/>
      <c r="O219" s="60" t="str">
        <f t="shared" si="14"/>
        <v/>
      </c>
      <c r="P219" s="61" t="str">
        <f t="shared" si="16"/>
        <v>-</v>
      </c>
      <c r="Q219" s="61"/>
      <c r="R219" s="61"/>
      <c r="S219" s="61"/>
      <c r="T219" s="61"/>
      <c r="U219" s="61"/>
    </row>
    <row r="220" spans="1:77" s="62" customFormat="1" ht="35.1" customHeight="1">
      <c r="A220" s="63"/>
      <c r="B220" s="163"/>
      <c r="C220" s="84"/>
      <c r="D220" s="65"/>
      <c r="E220" s="65"/>
      <c r="F220" s="65"/>
      <c r="G220" s="65"/>
      <c r="H220" s="65"/>
      <c r="I220" s="65"/>
      <c r="J220" s="44">
        <v>0</v>
      </c>
      <c r="K220" s="44">
        <v>0</v>
      </c>
      <c r="L220" s="44">
        <v>0</v>
      </c>
      <c r="M220" s="17"/>
      <c r="N220" s="60"/>
      <c r="O220" s="60" t="str">
        <f t="shared" si="14"/>
        <v/>
      </c>
      <c r="P220" s="61" t="str">
        <f t="shared" si="16"/>
        <v>-</v>
      </c>
      <c r="Q220" s="61"/>
      <c r="R220" s="61"/>
      <c r="S220" s="61"/>
      <c r="T220" s="61"/>
      <c r="U220" s="61"/>
    </row>
    <row r="221" spans="1:77" s="62" customFormat="1" ht="35.1" customHeight="1">
      <c r="A221" s="63"/>
      <c r="B221" s="163"/>
      <c r="C221" s="89"/>
      <c r="D221" s="65"/>
      <c r="E221" s="65"/>
      <c r="F221" s="65"/>
      <c r="G221" s="65"/>
      <c r="H221" s="65"/>
      <c r="I221" s="65"/>
      <c r="J221" s="44">
        <v>0</v>
      </c>
      <c r="K221" s="44">
        <v>0</v>
      </c>
      <c r="L221" s="44">
        <v>0</v>
      </c>
      <c r="M221" s="17"/>
      <c r="N221" s="60"/>
      <c r="O221" s="60" t="str">
        <f t="shared" si="14"/>
        <v/>
      </c>
      <c r="P221" s="61" t="str">
        <f t="shared" si="16"/>
        <v>-</v>
      </c>
      <c r="Q221" s="61"/>
      <c r="R221" s="61"/>
      <c r="S221" s="61"/>
      <c r="T221" s="61"/>
      <c r="U221" s="61"/>
    </row>
    <row r="222" spans="1:77" s="62" customFormat="1" ht="35.1" customHeight="1">
      <c r="A222" s="63"/>
      <c r="B222" s="163"/>
      <c r="C222" s="89"/>
      <c r="D222" s="65"/>
      <c r="E222" s="65"/>
      <c r="F222" s="65"/>
      <c r="G222" s="65"/>
      <c r="H222" s="65"/>
      <c r="I222" s="65"/>
      <c r="J222" s="44">
        <v>0</v>
      </c>
      <c r="K222" s="44">
        <v>0</v>
      </c>
      <c r="L222" s="44">
        <v>0</v>
      </c>
      <c r="M222" s="17"/>
      <c r="N222" s="60"/>
      <c r="O222" s="60" t="str">
        <f t="shared" si="14"/>
        <v/>
      </c>
      <c r="P222" s="61" t="str">
        <f t="shared" si="16"/>
        <v>-</v>
      </c>
      <c r="Q222" s="61"/>
      <c r="R222" s="61"/>
      <c r="S222" s="61"/>
      <c r="T222" s="61"/>
      <c r="U222" s="61"/>
    </row>
    <row r="223" spans="1:77" s="62" customFormat="1" ht="35.1" customHeight="1">
      <c r="A223" s="63"/>
      <c r="B223" s="163"/>
      <c r="C223" s="89"/>
      <c r="D223" s="65"/>
      <c r="E223" s="65"/>
      <c r="F223" s="65"/>
      <c r="G223" s="65"/>
      <c r="H223" s="65"/>
      <c r="I223" s="65"/>
      <c r="J223" s="44"/>
      <c r="K223" s="44"/>
      <c r="L223" s="44"/>
      <c r="M223" s="17"/>
      <c r="N223" s="60"/>
      <c r="O223" s="60" t="str">
        <f t="shared" si="14"/>
        <v/>
      </c>
      <c r="P223" s="61" t="str">
        <f t="shared" si="16"/>
        <v>-</v>
      </c>
      <c r="Q223" s="61"/>
      <c r="R223" s="61"/>
      <c r="S223" s="61"/>
      <c r="T223" s="61"/>
      <c r="U223" s="61"/>
    </row>
    <row r="224" spans="1:77" s="62" customFormat="1" ht="35.1" customHeight="1">
      <c r="A224" s="63"/>
      <c r="B224" s="163"/>
      <c r="C224" s="89"/>
      <c r="D224" s="65"/>
      <c r="E224" s="65"/>
      <c r="F224" s="65"/>
      <c r="G224" s="65"/>
      <c r="H224" s="65"/>
      <c r="I224" s="65"/>
      <c r="J224" s="44"/>
      <c r="K224" s="44"/>
      <c r="L224" s="44"/>
      <c r="M224" s="17"/>
      <c r="N224" s="60"/>
      <c r="O224" s="60" t="str">
        <f t="shared" si="14"/>
        <v/>
      </c>
      <c r="P224" s="61" t="str">
        <f t="shared" si="16"/>
        <v>-</v>
      </c>
      <c r="Q224" s="61"/>
      <c r="R224" s="61"/>
      <c r="S224" s="61"/>
      <c r="T224" s="61"/>
      <c r="U224" s="61"/>
    </row>
    <row r="225" spans="1:77" s="62" customFormat="1" ht="35.1" customHeight="1">
      <c r="A225" s="63"/>
      <c r="B225" s="163"/>
      <c r="C225" s="89"/>
      <c r="D225" s="65"/>
      <c r="E225" s="65"/>
      <c r="F225" s="65"/>
      <c r="G225" s="65"/>
      <c r="H225" s="65"/>
      <c r="I225" s="65"/>
      <c r="J225" s="44"/>
      <c r="K225" s="44"/>
      <c r="L225" s="44"/>
      <c r="M225" s="17"/>
      <c r="N225" s="60"/>
      <c r="O225" s="60" t="str">
        <f t="shared" si="14"/>
        <v/>
      </c>
      <c r="P225" s="61" t="str">
        <f t="shared" si="16"/>
        <v>-</v>
      </c>
      <c r="Q225" s="61"/>
      <c r="R225" s="61"/>
      <c r="S225" s="61"/>
      <c r="T225" s="61"/>
      <c r="U225" s="61"/>
    </row>
    <row r="226" spans="1:77" s="62" customFormat="1" ht="35.1" customHeight="1">
      <c r="A226" s="63"/>
      <c r="B226" s="163"/>
      <c r="C226" s="89"/>
      <c r="D226" s="65"/>
      <c r="E226" s="65"/>
      <c r="F226" s="65"/>
      <c r="G226" s="65"/>
      <c r="H226" s="65"/>
      <c r="I226" s="65"/>
      <c r="J226" s="44">
        <v>0</v>
      </c>
      <c r="K226" s="44">
        <v>0</v>
      </c>
      <c r="L226" s="44">
        <v>0</v>
      </c>
      <c r="M226" s="17"/>
      <c r="N226" s="60"/>
      <c r="O226" s="60" t="str">
        <f t="shared" si="14"/>
        <v/>
      </c>
      <c r="P226" s="61" t="str">
        <f t="shared" si="16"/>
        <v>-</v>
      </c>
      <c r="Q226" s="61"/>
      <c r="R226" s="61"/>
      <c r="S226" s="61"/>
      <c r="T226" s="61"/>
      <c r="U226" s="61"/>
    </row>
    <row r="227" spans="1:77" s="62" customFormat="1" ht="35.1" customHeight="1">
      <c r="A227" s="63"/>
      <c r="B227" s="163"/>
      <c r="C227" s="89"/>
      <c r="D227" s="65"/>
      <c r="E227" s="65"/>
      <c r="F227" s="65"/>
      <c r="G227" s="65"/>
      <c r="H227" s="65"/>
      <c r="I227" s="65"/>
      <c r="J227" s="44">
        <v>0</v>
      </c>
      <c r="K227" s="44">
        <v>0</v>
      </c>
      <c r="L227" s="44">
        <v>0</v>
      </c>
      <c r="M227" s="17"/>
      <c r="N227" s="60"/>
      <c r="O227" s="60" t="str">
        <f t="shared" si="14"/>
        <v/>
      </c>
      <c r="P227" s="61" t="str">
        <f t="shared" si="16"/>
        <v>-</v>
      </c>
      <c r="Q227" s="61"/>
      <c r="R227" s="61"/>
      <c r="S227" s="61"/>
      <c r="T227" s="61"/>
      <c r="U227" s="61"/>
    </row>
    <row r="228" spans="1:77" s="62" customFormat="1" ht="35.1" customHeight="1">
      <c r="A228" s="63"/>
      <c r="B228" s="163"/>
      <c r="C228" s="64"/>
      <c r="D228" s="65"/>
      <c r="E228" s="65"/>
      <c r="F228" s="65"/>
      <c r="G228" s="65"/>
      <c r="H228" s="65"/>
      <c r="I228" s="65"/>
      <c r="J228" s="44"/>
      <c r="K228" s="44"/>
      <c r="L228" s="44"/>
      <c r="M228" s="17"/>
      <c r="N228" s="60"/>
      <c r="O228" s="60" t="str">
        <f t="shared" si="14"/>
        <v/>
      </c>
      <c r="P228" s="61" t="str">
        <f t="shared" si="16"/>
        <v>-</v>
      </c>
      <c r="Q228" s="61"/>
      <c r="R228" s="61"/>
      <c r="S228" s="61"/>
      <c r="T228" s="61"/>
      <c r="U228" s="61"/>
    </row>
    <row r="229" spans="1:77" s="62" customFormat="1" ht="35.1" customHeight="1">
      <c r="A229" s="63"/>
      <c r="B229" s="163"/>
      <c r="C229" s="64"/>
      <c r="D229" s="65"/>
      <c r="E229" s="65"/>
      <c r="F229" s="65"/>
      <c r="G229" s="65"/>
      <c r="H229" s="65"/>
      <c r="I229" s="65"/>
      <c r="J229" s="44"/>
      <c r="K229" s="44"/>
      <c r="L229" s="44"/>
      <c r="M229" s="17"/>
      <c r="N229" s="60"/>
      <c r="O229" s="60" t="str">
        <f t="shared" si="14"/>
        <v/>
      </c>
      <c r="P229" s="61" t="str">
        <f t="shared" si="16"/>
        <v>-</v>
      </c>
      <c r="Q229" s="61"/>
      <c r="R229" s="61"/>
      <c r="S229" s="61"/>
      <c r="T229" s="61"/>
      <c r="U229" s="61"/>
    </row>
    <row r="230" spans="1:77" s="62" customFormat="1" ht="35.1" customHeight="1">
      <c r="A230" s="63"/>
      <c r="B230" s="163"/>
      <c r="C230" s="64"/>
      <c r="D230" s="65"/>
      <c r="E230" s="65"/>
      <c r="F230" s="65"/>
      <c r="G230" s="65"/>
      <c r="H230" s="65"/>
      <c r="I230" s="65"/>
      <c r="J230" s="44"/>
      <c r="K230" s="44"/>
      <c r="L230" s="44"/>
      <c r="M230" s="17"/>
      <c r="N230" s="60"/>
      <c r="O230" s="60" t="str">
        <f t="shared" si="14"/>
        <v/>
      </c>
      <c r="P230" s="61" t="str">
        <f t="shared" si="16"/>
        <v>-</v>
      </c>
      <c r="Q230" s="61"/>
      <c r="R230" s="61"/>
      <c r="S230" s="61"/>
      <c r="T230" s="61"/>
      <c r="U230" s="61"/>
    </row>
    <row r="231" spans="1:77" s="62" customFormat="1" ht="35.1" customHeight="1">
      <c r="A231" s="63"/>
      <c r="B231" s="163"/>
      <c r="C231" s="64"/>
      <c r="D231" s="65"/>
      <c r="E231" s="65"/>
      <c r="F231" s="65"/>
      <c r="G231" s="65"/>
      <c r="H231" s="65"/>
      <c r="I231" s="65"/>
      <c r="J231" s="44"/>
      <c r="K231" s="44"/>
      <c r="L231" s="44"/>
      <c r="M231" s="17"/>
      <c r="N231" s="60"/>
      <c r="O231" s="60" t="str">
        <f t="shared" si="14"/>
        <v/>
      </c>
      <c r="P231" s="61" t="str">
        <f t="shared" si="16"/>
        <v>-</v>
      </c>
      <c r="Q231" s="61"/>
      <c r="R231" s="61"/>
      <c r="S231" s="61"/>
      <c r="T231" s="61"/>
      <c r="U231" s="61"/>
    </row>
    <row r="232" spans="1:77" s="62" customFormat="1" ht="35.1" customHeight="1">
      <c r="A232" s="63"/>
      <c r="B232" s="163"/>
      <c r="C232" s="64"/>
      <c r="D232" s="65"/>
      <c r="E232" s="65"/>
      <c r="F232" s="65"/>
      <c r="G232" s="65"/>
      <c r="H232" s="65"/>
      <c r="I232" s="65"/>
      <c r="J232" s="44"/>
      <c r="K232" s="44"/>
      <c r="L232" s="44"/>
      <c r="M232" s="17"/>
      <c r="N232" s="60"/>
      <c r="O232" s="60" t="str">
        <f t="shared" si="14"/>
        <v/>
      </c>
      <c r="P232" s="61" t="str">
        <f t="shared" si="16"/>
        <v>-</v>
      </c>
      <c r="Q232" s="61"/>
      <c r="R232" s="61"/>
      <c r="S232" s="61"/>
      <c r="T232" s="61"/>
      <c r="U232" s="61"/>
    </row>
    <row r="233" spans="1:77" s="62" customFormat="1" ht="35.1" customHeight="1">
      <c r="A233" s="63"/>
      <c r="B233" s="163"/>
      <c r="C233" s="64"/>
      <c r="D233" s="65"/>
      <c r="E233" s="65"/>
      <c r="F233" s="65"/>
      <c r="G233" s="65"/>
      <c r="H233" s="65"/>
      <c r="I233" s="65"/>
      <c r="J233" s="44"/>
      <c r="K233" s="44"/>
      <c r="L233" s="44"/>
      <c r="M233" s="17"/>
      <c r="N233" s="60"/>
      <c r="O233" s="60" t="str">
        <f t="shared" si="14"/>
        <v/>
      </c>
      <c r="P233" s="61" t="str">
        <f t="shared" si="16"/>
        <v>-</v>
      </c>
      <c r="Q233" s="61"/>
      <c r="R233" s="61"/>
      <c r="S233" s="61"/>
      <c r="T233" s="61"/>
      <c r="U233" s="61"/>
    </row>
    <row r="234" spans="1:77" s="62" customFormat="1" ht="35.1" customHeight="1">
      <c r="A234" s="63"/>
      <c r="B234" s="163"/>
      <c r="C234" s="64"/>
      <c r="D234" s="65"/>
      <c r="E234" s="65"/>
      <c r="F234" s="65"/>
      <c r="G234" s="65"/>
      <c r="H234" s="65"/>
      <c r="I234" s="65"/>
      <c r="J234" s="44"/>
      <c r="K234" s="44"/>
      <c r="L234" s="44"/>
      <c r="M234" s="17"/>
      <c r="N234" s="60"/>
      <c r="O234" s="60" t="str">
        <f t="shared" si="14"/>
        <v/>
      </c>
      <c r="P234" s="61" t="str">
        <f t="shared" si="16"/>
        <v>-</v>
      </c>
      <c r="Q234" s="61"/>
      <c r="R234" s="61"/>
      <c r="S234" s="61"/>
      <c r="T234" s="61"/>
      <c r="U234" s="61"/>
    </row>
    <row r="235" spans="1:77" s="62" customFormat="1" ht="35.1" customHeight="1">
      <c r="A235" s="63"/>
      <c r="B235" s="163"/>
      <c r="C235" s="64"/>
      <c r="D235" s="65"/>
      <c r="E235" s="65"/>
      <c r="F235" s="65"/>
      <c r="G235" s="65"/>
      <c r="H235" s="65"/>
      <c r="I235" s="65"/>
      <c r="J235" s="44"/>
      <c r="K235" s="44"/>
      <c r="L235" s="44"/>
      <c r="M235" s="17"/>
      <c r="N235" s="60"/>
      <c r="O235" s="60" t="str">
        <f t="shared" si="14"/>
        <v/>
      </c>
      <c r="P235" s="61" t="str">
        <f t="shared" si="16"/>
        <v>-</v>
      </c>
      <c r="Q235" s="61"/>
      <c r="R235" s="61"/>
      <c r="S235" s="61"/>
      <c r="T235" s="61"/>
      <c r="U235" s="61"/>
    </row>
    <row r="236" spans="1:77" s="62" customFormat="1" ht="35.1" customHeight="1">
      <c r="A236" s="63"/>
      <c r="B236" s="163"/>
      <c r="C236" s="64"/>
      <c r="D236" s="65"/>
      <c r="E236" s="65"/>
      <c r="F236" s="65"/>
      <c r="G236" s="65"/>
      <c r="H236" s="65"/>
      <c r="I236" s="65"/>
      <c r="J236" s="44"/>
      <c r="K236" s="44"/>
      <c r="L236" s="44"/>
      <c r="M236" s="17"/>
      <c r="N236" s="60"/>
      <c r="O236" s="60" t="str">
        <f t="shared" si="14"/>
        <v/>
      </c>
      <c r="P236" s="61" t="str">
        <f t="shared" si="16"/>
        <v>-</v>
      </c>
      <c r="Q236" s="61"/>
      <c r="R236" s="61"/>
      <c r="S236" s="61"/>
      <c r="T236" s="61"/>
      <c r="U236" s="61"/>
    </row>
    <row r="237" spans="1:77" s="73" customFormat="1" ht="35.1" customHeight="1">
      <c r="A237" s="66" t="s">
        <v>41</v>
      </c>
      <c r="B237" s="67"/>
      <c r="C237" s="67"/>
      <c r="D237" s="68"/>
      <c r="E237" s="69"/>
      <c r="F237" s="69"/>
      <c r="G237" s="69">
        <f>SUM(G217:G236)</f>
        <v>0</v>
      </c>
      <c r="H237" s="70"/>
      <c r="I237" s="70"/>
      <c r="J237" s="70"/>
      <c r="K237" s="70"/>
      <c r="L237" s="70"/>
      <c r="M237" s="71"/>
      <c r="N237" s="60"/>
      <c r="O237" s="60" t="str">
        <f t="shared" si="14"/>
        <v/>
      </c>
      <c r="P237" s="61"/>
      <c r="Q237" s="61"/>
      <c r="R237" s="61"/>
      <c r="S237" s="61"/>
      <c r="T237" s="61"/>
      <c r="U237" s="61"/>
      <c r="V237" s="72"/>
      <c r="W237" s="72"/>
      <c r="X237" s="72"/>
      <c r="Y237" s="72"/>
      <c r="Z237" s="72"/>
      <c r="AA237" s="72"/>
      <c r="AB237" s="72"/>
      <c r="AC237" s="72"/>
      <c r="AD237" s="72"/>
      <c r="AE237" s="72"/>
      <c r="AF237" s="72"/>
      <c r="AG237" s="72"/>
      <c r="AH237" s="72"/>
      <c r="AI237" s="72"/>
      <c r="AJ237" s="72"/>
      <c r="AK237" s="72"/>
      <c r="AL237" s="72"/>
      <c r="AM237" s="72"/>
      <c r="AN237" s="72"/>
      <c r="AO237" s="72"/>
      <c r="AP237" s="72"/>
      <c r="AQ237" s="72"/>
      <c r="AR237" s="72"/>
      <c r="AS237" s="72"/>
      <c r="AT237" s="72"/>
      <c r="AU237" s="72"/>
      <c r="AV237" s="72"/>
      <c r="AW237" s="72"/>
      <c r="AX237" s="72"/>
      <c r="AY237" s="72"/>
      <c r="AZ237" s="72"/>
      <c r="BA237" s="72"/>
      <c r="BB237" s="72"/>
      <c r="BC237" s="72"/>
      <c r="BD237" s="72"/>
      <c r="BE237" s="72"/>
      <c r="BF237" s="72"/>
      <c r="BG237" s="72"/>
      <c r="BH237" s="72"/>
      <c r="BI237" s="72"/>
      <c r="BJ237" s="72"/>
      <c r="BK237" s="72"/>
      <c r="BL237" s="72"/>
      <c r="BM237" s="72"/>
      <c r="BN237" s="72"/>
      <c r="BO237" s="72"/>
      <c r="BP237" s="72"/>
      <c r="BQ237" s="72"/>
      <c r="BR237" s="72"/>
      <c r="BS237" s="72"/>
      <c r="BT237" s="72"/>
      <c r="BU237" s="72"/>
      <c r="BV237" s="72"/>
      <c r="BW237" s="72"/>
      <c r="BX237" s="72"/>
      <c r="BY237" s="72"/>
    </row>
    <row r="238" spans="1:77" s="62" customFormat="1" ht="35.1" customHeight="1">
      <c r="A238" s="58"/>
      <c r="B238" s="161"/>
      <c r="C238" s="82"/>
      <c r="D238" s="59"/>
      <c r="E238" s="59"/>
      <c r="F238" s="59"/>
      <c r="G238" s="59"/>
      <c r="H238" s="59"/>
      <c r="I238" s="59"/>
      <c r="J238" s="43"/>
      <c r="K238" s="43"/>
      <c r="L238" s="43"/>
      <c r="M238" s="16"/>
      <c r="N238" s="60"/>
      <c r="O238" s="60" t="str">
        <f t="shared" si="14"/>
        <v/>
      </c>
      <c r="P238" s="61" t="str">
        <f t="shared" ref="P238:P257" si="17">IF(E238&gt;=G238,"-","err")</f>
        <v>-</v>
      </c>
      <c r="Q238" s="61"/>
      <c r="R238" s="61"/>
      <c r="S238" s="61"/>
      <c r="T238" s="61"/>
      <c r="U238" s="61"/>
    </row>
    <row r="239" spans="1:77" s="62" customFormat="1" ht="35.1" customHeight="1">
      <c r="A239" s="92"/>
      <c r="B239" s="162"/>
      <c r="C239" s="96"/>
      <c r="D239" s="93"/>
      <c r="E239" s="93"/>
      <c r="F239" s="93"/>
      <c r="G239" s="93"/>
      <c r="H239" s="93"/>
      <c r="I239" s="93"/>
      <c r="J239" s="94"/>
      <c r="K239" s="94"/>
      <c r="L239" s="94"/>
      <c r="M239" s="95"/>
      <c r="N239" s="60"/>
      <c r="O239" s="60" t="str">
        <f t="shared" si="14"/>
        <v/>
      </c>
      <c r="P239" s="61" t="str">
        <f t="shared" si="17"/>
        <v>-</v>
      </c>
      <c r="Q239" s="61"/>
      <c r="R239" s="61"/>
      <c r="S239" s="61"/>
      <c r="T239" s="61"/>
      <c r="U239" s="61"/>
    </row>
    <row r="240" spans="1:77" s="62" customFormat="1" ht="35.1" customHeight="1">
      <c r="A240" s="63"/>
      <c r="B240" s="163"/>
      <c r="C240" s="83"/>
      <c r="D240" s="65"/>
      <c r="E240" s="65"/>
      <c r="F240" s="65"/>
      <c r="G240" s="65"/>
      <c r="H240" s="65"/>
      <c r="I240" s="65"/>
      <c r="J240" s="44"/>
      <c r="K240" s="44">
        <v>0</v>
      </c>
      <c r="L240" s="44">
        <v>0</v>
      </c>
      <c r="M240" s="17"/>
      <c r="N240" s="60"/>
      <c r="O240" s="60" t="str">
        <f t="shared" ref="O240:O258" si="18">CONCATENATE(D240,H240)</f>
        <v/>
      </c>
      <c r="P240" s="61" t="str">
        <f t="shared" si="17"/>
        <v>-</v>
      </c>
      <c r="Q240" s="61"/>
      <c r="R240" s="61"/>
      <c r="S240" s="61"/>
      <c r="T240" s="61"/>
      <c r="U240" s="61"/>
    </row>
    <row r="241" spans="1:21" s="62" customFormat="1" ht="35.1" customHeight="1">
      <c r="A241" s="63"/>
      <c r="B241" s="163"/>
      <c r="C241" s="84"/>
      <c r="D241" s="65"/>
      <c r="E241" s="65"/>
      <c r="F241" s="65"/>
      <c r="G241" s="65"/>
      <c r="H241" s="65"/>
      <c r="I241" s="65"/>
      <c r="J241" s="44"/>
      <c r="K241" s="44">
        <v>0</v>
      </c>
      <c r="L241" s="44">
        <v>0</v>
      </c>
      <c r="M241" s="17"/>
      <c r="N241" s="60"/>
      <c r="O241" s="60" t="str">
        <f t="shared" si="18"/>
        <v/>
      </c>
      <c r="P241" s="61" t="str">
        <f t="shared" si="17"/>
        <v>-</v>
      </c>
      <c r="Q241" s="61"/>
      <c r="R241" s="61"/>
      <c r="S241" s="61"/>
      <c r="T241" s="61"/>
      <c r="U241" s="61"/>
    </row>
    <row r="242" spans="1:21" s="62" customFormat="1" ht="35.1" customHeight="1">
      <c r="A242" s="63"/>
      <c r="B242" s="163"/>
      <c r="C242" s="89"/>
      <c r="D242" s="65"/>
      <c r="E242" s="65"/>
      <c r="F242" s="65"/>
      <c r="G242" s="65"/>
      <c r="H242" s="65"/>
      <c r="I242" s="65"/>
      <c r="J242" s="44"/>
      <c r="K242" s="44">
        <v>0</v>
      </c>
      <c r="L242" s="44">
        <v>0</v>
      </c>
      <c r="M242" s="17"/>
      <c r="N242" s="60"/>
      <c r="O242" s="60" t="str">
        <f t="shared" si="18"/>
        <v/>
      </c>
      <c r="P242" s="61" t="str">
        <f t="shared" si="17"/>
        <v>-</v>
      </c>
      <c r="Q242" s="61"/>
      <c r="R242" s="61"/>
      <c r="S242" s="61"/>
      <c r="T242" s="61"/>
      <c r="U242" s="61"/>
    </row>
    <row r="243" spans="1:21" s="62" customFormat="1" ht="35.1" customHeight="1">
      <c r="A243" s="63"/>
      <c r="B243" s="163"/>
      <c r="C243" s="89"/>
      <c r="D243" s="65"/>
      <c r="E243" s="65"/>
      <c r="F243" s="65"/>
      <c r="G243" s="65"/>
      <c r="H243" s="65"/>
      <c r="I243" s="65"/>
      <c r="J243" s="44"/>
      <c r="K243" s="44">
        <v>0</v>
      </c>
      <c r="L243" s="44">
        <v>0</v>
      </c>
      <c r="M243" s="17"/>
      <c r="N243" s="60"/>
      <c r="O243" s="60" t="str">
        <f t="shared" si="18"/>
        <v/>
      </c>
      <c r="P243" s="61" t="str">
        <f t="shared" si="17"/>
        <v>-</v>
      </c>
      <c r="Q243" s="61"/>
      <c r="R243" s="61"/>
      <c r="S243" s="61"/>
      <c r="T243" s="61"/>
      <c r="U243" s="61"/>
    </row>
    <row r="244" spans="1:21" s="62" customFormat="1" ht="35.1" customHeight="1">
      <c r="A244" s="63"/>
      <c r="B244" s="163"/>
      <c r="C244" s="89"/>
      <c r="D244" s="65"/>
      <c r="E244" s="65"/>
      <c r="F244" s="65"/>
      <c r="G244" s="65"/>
      <c r="H244" s="65"/>
      <c r="I244" s="65"/>
      <c r="J244" s="44"/>
      <c r="K244" s="44">
        <v>0</v>
      </c>
      <c r="L244" s="44">
        <v>0</v>
      </c>
      <c r="M244" s="17"/>
      <c r="N244" s="60"/>
      <c r="O244" s="60" t="str">
        <f t="shared" si="18"/>
        <v/>
      </c>
      <c r="P244" s="61" t="str">
        <f t="shared" si="17"/>
        <v>-</v>
      </c>
      <c r="Q244" s="61"/>
      <c r="R244" s="61"/>
      <c r="S244" s="61"/>
      <c r="T244" s="61"/>
      <c r="U244" s="61"/>
    </row>
    <row r="245" spans="1:21" s="62" customFormat="1" ht="35.1" customHeight="1">
      <c r="A245" s="63"/>
      <c r="B245" s="163"/>
      <c r="C245" s="89"/>
      <c r="D245" s="65"/>
      <c r="E245" s="65"/>
      <c r="F245" s="65"/>
      <c r="G245" s="65"/>
      <c r="H245" s="65"/>
      <c r="I245" s="65"/>
      <c r="J245" s="44"/>
      <c r="K245" s="44"/>
      <c r="L245" s="44"/>
      <c r="M245" s="17"/>
      <c r="N245" s="60"/>
      <c r="O245" s="60" t="str">
        <f t="shared" si="18"/>
        <v/>
      </c>
      <c r="P245" s="61" t="str">
        <f t="shared" si="17"/>
        <v>-</v>
      </c>
      <c r="Q245" s="61"/>
      <c r="R245" s="61"/>
      <c r="S245" s="61"/>
      <c r="T245" s="61"/>
      <c r="U245" s="61"/>
    </row>
    <row r="246" spans="1:21" s="62" customFormat="1" ht="35.1" customHeight="1">
      <c r="A246" s="63"/>
      <c r="B246" s="163"/>
      <c r="C246" s="89"/>
      <c r="D246" s="65"/>
      <c r="E246" s="65"/>
      <c r="F246" s="65"/>
      <c r="G246" s="65"/>
      <c r="H246" s="65"/>
      <c r="I246" s="65"/>
      <c r="J246" s="44"/>
      <c r="K246" s="44">
        <v>0</v>
      </c>
      <c r="L246" s="44">
        <v>0</v>
      </c>
      <c r="M246" s="17"/>
      <c r="N246" s="60"/>
      <c r="O246" s="60" t="str">
        <f t="shared" si="18"/>
        <v/>
      </c>
      <c r="P246" s="61" t="str">
        <f t="shared" si="17"/>
        <v>-</v>
      </c>
      <c r="Q246" s="61"/>
      <c r="R246" s="61"/>
      <c r="S246" s="61"/>
      <c r="T246" s="61"/>
      <c r="U246" s="61"/>
    </row>
    <row r="247" spans="1:21" s="62" customFormat="1" ht="35.1" customHeight="1">
      <c r="A247" s="63"/>
      <c r="B247" s="163"/>
      <c r="C247" s="89"/>
      <c r="D247" s="65"/>
      <c r="E247" s="65"/>
      <c r="F247" s="65"/>
      <c r="G247" s="65"/>
      <c r="H247" s="65"/>
      <c r="I247" s="65"/>
      <c r="J247" s="44"/>
      <c r="K247" s="44">
        <v>0</v>
      </c>
      <c r="L247" s="44">
        <v>0</v>
      </c>
      <c r="M247" s="17"/>
      <c r="N247" s="60"/>
      <c r="O247" s="60" t="str">
        <f t="shared" si="18"/>
        <v/>
      </c>
      <c r="P247" s="61" t="str">
        <f t="shared" si="17"/>
        <v>-</v>
      </c>
      <c r="Q247" s="61"/>
      <c r="R247" s="61"/>
      <c r="S247" s="61"/>
      <c r="T247" s="61"/>
      <c r="U247" s="61"/>
    </row>
    <row r="248" spans="1:21" s="62" customFormat="1" ht="35.1" customHeight="1">
      <c r="A248" s="63"/>
      <c r="B248" s="163"/>
      <c r="C248" s="89"/>
      <c r="D248" s="65"/>
      <c r="E248" s="65"/>
      <c r="F248" s="65"/>
      <c r="G248" s="65"/>
      <c r="H248" s="65"/>
      <c r="I248" s="65"/>
      <c r="J248" s="44"/>
      <c r="K248" s="44">
        <v>0</v>
      </c>
      <c r="L248" s="44">
        <v>0</v>
      </c>
      <c r="M248" s="17"/>
      <c r="N248" s="60"/>
      <c r="O248" s="60" t="str">
        <f t="shared" si="18"/>
        <v/>
      </c>
      <c r="P248" s="61" t="str">
        <f t="shared" si="17"/>
        <v>-</v>
      </c>
      <c r="Q248" s="61"/>
      <c r="R248" s="61"/>
      <c r="S248" s="61"/>
      <c r="T248" s="61"/>
      <c r="U248" s="61"/>
    </row>
    <row r="249" spans="1:21" s="62" customFormat="1" ht="35.1" customHeight="1">
      <c r="A249" s="63"/>
      <c r="B249" s="163"/>
      <c r="C249" s="64"/>
      <c r="D249" s="65"/>
      <c r="E249" s="65"/>
      <c r="F249" s="65"/>
      <c r="G249" s="65"/>
      <c r="H249" s="65"/>
      <c r="I249" s="65"/>
      <c r="J249" s="44"/>
      <c r="K249" s="44"/>
      <c r="L249" s="44"/>
      <c r="M249" s="17"/>
      <c r="N249" s="60"/>
      <c r="O249" s="60" t="str">
        <f t="shared" si="18"/>
        <v/>
      </c>
      <c r="P249" s="61" t="str">
        <f t="shared" si="17"/>
        <v>-</v>
      </c>
      <c r="Q249" s="61"/>
      <c r="R249" s="61"/>
      <c r="S249" s="61"/>
      <c r="T249" s="61"/>
      <c r="U249" s="61"/>
    </row>
    <row r="250" spans="1:21" s="62" customFormat="1" ht="35.1" customHeight="1">
      <c r="A250" s="63"/>
      <c r="B250" s="163"/>
      <c r="C250" s="64"/>
      <c r="D250" s="65"/>
      <c r="E250" s="65"/>
      <c r="F250" s="65"/>
      <c r="G250" s="65"/>
      <c r="H250" s="65"/>
      <c r="I250" s="65"/>
      <c r="J250" s="44"/>
      <c r="K250" s="44"/>
      <c r="L250" s="44"/>
      <c r="M250" s="17"/>
      <c r="N250" s="60"/>
      <c r="O250" s="60" t="str">
        <f t="shared" si="18"/>
        <v/>
      </c>
      <c r="P250" s="61" t="str">
        <f t="shared" si="17"/>
        <v>-</v>
      </c>
      <c r="Q250" s="61"/>
      <c r="R250" s="61"/>
      <c r="S250" s="61"/>
      <c r="T250" s="61"/>
      <c r="U250" s="61"/>
    </row>
    <row r="251" spans="1:21" s="62" customFormat="1" ht="35.1" customHeight="1">
      <c r="A251" s="63"/>
      <c r="B251" s="163"/>
      <c r="C251" s="64"/>
      <c r="D251" s="65"/>
      <c r="E251" s="65"/>
      <c r="F251" s="65"/>
      <c r="G251" s="65"/>
      <c r="H251" s="65"/>
      <c r="I251" s="65"/>
      <c r="J251" s="44"/>
      <c r="K251" s="44"/>
      <c r="L251" s="44"/>
      <c r="M251" s="17"/>
      <c r="N251" s="60"/>
      <c r="O251" s="60" t="str">
        <f t="shared" si="18"/>
        <v/>
      </c>
      <c r="P251" s="61" t="str">
        <f t="shared" si="17"/>
        <v>-</v>
      </c>
      <c r="Q251" s="61"/>
      <c r="R251" s="61"/>
      <c r="S251" s="61"/>
      <c r="T251" s="61"/>
      <c r="U251" s="61"/>
    </row>
    <row r="252" spans="1:21" s="62" customFormat="1" ht="35.1" customHeight="1">
      <c r="A252" s="63"/>
      <c r="B252" s="163"/>
      <c r="C252" s="64"/>
      <c r="D252" s="65"/>
      <c r="E252" s="65"/>
      <c r="F252" s="65"/>
      <c r="G252" s="65"/>
      <c r="H252" s="65"/>
      <c r="I252" s="65"/>
      <c r="J252" s="44"/>
      <c r="K252" s="44"/>
      <c r="L252" s="44"/>
      <c r="M252" s="17"/>
      <c r="N252" s="60"/>
      <c r="O252" s="60" t="str">
        <f t="shared" si="18"/>
        <v/>
      </c>
      <c r="P252" s="61" t="str">
        <f t="shared" si="17"/>
        <v>-</v>
      </c>
      <c r="Q252" s="61"/>
      <c r="R252" s="61"/>
      <c r="S252" s="61"/>
      <c r="T252" s="61"/>
      <c r="U252" s="61"/>
    </row>
    <row r="253" spans="1:21" s="62" customFormat="1" ht="35.1" customHeight="1">
      <c r="A253" s="63"/>
      <c r="B253" s="163"/>
      <c r="C253" s="64"/>
      <c r="D253" s="65"/>
      <c r="E253" s="65"/>
      <c r="F253" s="65"/>
      <c r="G253" s="65"/>
      <c r="H253" s="65"/>
      <c r="I253" s="65"/>
      <c r="J253" s="44"/>
      <c r="K253" s="44"/>
      <c r="L253" s="44"/>
      <c r="M253" s="17"/>
      <c r="N253" s="60"/>
      <c r="O253" s="60" t="str">
        <f t="shared" si="18"/>
        <v/>
      </c>
      <c r="P253" s="61" t="str">
        <f t="shared" si="17"/>
        <v>-</v>
      </c>
      <c r="Q253" s="61"/>
      <c r="R253" s="61"/>
      <c r="S253" s="61"/>
      <c r="T253" s="61"/>
      <c r="U253" s="61"/>
    </row>
    <row r="254" spans="1:21" s="62" customFormat="1" ht="35.1" customHeight="1">
      <c r="A254" s="63"/>
      <c r="B254" s="163"/>
      <c r="C254" s="64"/>
      <c r="D254" s="65"/>
      <c r="E254" s="65"/>
      <c r="F254" s="65"/>
      <c r="G254" s="65"/>
      <c r="H254" s="65"/>
      <c r="I254" s="65"/>
      <c r="J254" s="44"/>
      <c r="K254" s="44"/>
      <c r="L254" s="44"/>
      <c r="M254" s="17"/>
      <c r="N254" s="60"/>
      <c r="O254" s="60" t="str">
        <f t="shared" si="18"/>
        <v/>
      </c>
      <c r="P254" s="61" t="str">
        <f t="shared" si="17"/>
        <v>-</v>
      </c>
      <c r="Q254" s="61"/>
      <c r="R254" s="61"/>
      <c r="S254" s="61"/>
      <c r="T254" s="61"/>
      <c r="U254" s="61"/>
    </row>
    <row r="255" spans="1:21" s="62" customFormat="1" ht="35.1" customHeight="1">
      <c r="A255" s="63"/>
      <c r="B255" s="163"/>
      <c r="C255" s="64"/>
      <c r="D255" s="65"/>
      <c r="E255" s="65"/>
      <c r="F255" s="65"/>
      <c r="G255" s="65"/>
      <c r="H255" s="65"/>
      <c r="I255" s="65"/>
      <c r="J255" s="44"/>
      <c r="K255" s="44"/>
      <c r="L255" s="44"/>
      <c r="M255" s="17"/>
      <c r="N255" s="60"/>
      <c r="O255" s="60" t="str">
        <f t="shared" si="18"/>
        <v/>
      </c>
      <c r="P255" s="61" t="str">
        <f t="shared" si="17"/>
        <v>-</v>
      </c>
      <c r="Q255" s="61"/>
      <c r="R255" s="61"/>
      <c r="S255" s="61"/>
      <c r="T255" s="61"/>
      <c r="U255" s="61"/>
    </row>
    <row r="256" spans="1:21" s="62" customFormat="1" ht="35.1" customHeight="1">
      <c r="A256" s="63"/>
      <c r="B256" s="163"/>
      <c r="C256" s="64"/>
      <c r="D256" s="65"/>
      <c r="E256" s="65"/>
      <c r="F256" s="65"/>
      <c r="G256" s="65"/>
      <c r="H256" s="65"/>
      <c r="I256" s="65"/>
      <c r="J256" s="44"/>
      <c r="K256" s="44"/>
      <c r="L256" s="44"/>
      <c r="M256" s="17"/>
      <c r="N256" s="60"/>
      <c r="O256" s="60" t="str">
        <f t="shared" si="18"/>
        <v/>
      </c>
      <c r="P256" s="61" t="str">
        <f t="shared" si="17"/>
        <v>-</v>
      </c>
      <c r="Q256" s="61"/>
      <c r="R256" s="61"/>
      <c r="S256" s="61"/>
      <c r="T256" s="61"/>
      <c r="U256" s="61"/>
    </row>
    <row r="257" spans="1:77" s="62" customFormat="1" ht="35.1" customHeight="1">
      <c r="A257" s="63"/>
      <c r="B257" s="163"/>
      <c r="C257" s="64"/>
      <c r="D257" s="65"/>
      <c r="E257" s="65"/>
      <c r="F257" s="65"/>
      <c r="G257" s="65"/>
      <c r="H257" s="65"/>
      <c r="I257" s="65"/>
      <c r="J257" s="44"/>
      <c r="K257" s="44"/>
      <c r="L257" s="44"/>
      <c r="M257" s="17"/>
      <c r="N257" s="60"/>
      <c r="O257" s="60" t="str">
        <f t="shared" si="18"/>
        <v/>
      </c>
      <c r="P257" s="61" t="str">
        <f t="shared" si="17"/>
        <v>-</v>
      </c>
      <c r="Q257" s="61"/>
      <c r="R257" s="61"/>
      <c r="S257" s="61"/>
      <c r="T257" s="61"/>
      <c r="U257" s="61"/>
    </row>
    <row r="258" spans="1:77" s="73" customFormat="1" ht="35.1" customHeight="1">
      <c r="A258" s="66" t="s">
        <v>41</v>
      </c>
      <c r="B258" s="67"/>
      <c r="C258" s="67"/>
      <c r="D258" s="68"/>
      <c r="E258" s="69"/>
      <c r="F258" s="69"/>
      <c r="G258" s="69">
        <f>SUM(G238:G257)</f>
        <v>0</v>
      </c>
      <c r="H258" s="70"/>
      <c r="I258" s="70"/>
      <c r="J258" s="70"/>
      <c r="K258" s="70"/>
      <c r="L258" s="70"/>
      <c r="M258" s="71"/>
      <c r="N258" s="60"/>
      <c r="O258" s="60" t="str">
        <f t="shared" si="18"/>
        <v/>
      </c>
      <c r="P258" s="61"/>
      <c r="Q258" s="61"/>
      <c r="R258" s="61"/>
      <c r="S258" s="61"/>
      <c r="T258" s="61"/>
      <c r="U258" s="61"/>
      <c r="V258" s="72"/>
      <c r="W258" s="72"/>
      <c r="X258" s="72"/>
      <c r="Y258" s="72"/>
      <c r="Z258" s="72"/>
      <c r="AA258" s="72"/>
      <c r="AB258" s="72"/>
      <c r="AC258" s="72"/>
      <c r="AD258" s="72"/>
      <c r="AE258" s="72"/>
      <c r="AF258" s="72"/>
      <c r="AG258" s="72"/>
      <c r="AH258" s="72"/>
      <c r="AI258" s="72"/>
      <c r="AJ258" s="72"/>
      <c r="AK258" s="72"/>
      <c r="AL258" s="72"/>
      <c r="AM258" s="72"/>
      <c r="AN258" s="72"/>
      <c r="AO258" s="72"/>
      <c r="AP258" s="72"/>
      <c r="AQ258" s="72"/>
      <c r="AR258" s="72"/>
      <c r="AS258" s="72"/>
      <c r="AT258" s="72"/>
      <c r="AU258" s="72"/>
      <c r="AV258" s="72"/>
      <c r="AW258" s="72"/>
      <c r="AX258" s="72"/>
      <c r="AY258" s="72"/>
      <c r="AZ258" s="72"/>
      <c r="BA258" s="72"/>
      <c r="BB258" s="72"/>
      <c r="BC258" s="72"/>
      <c r="BD258" s="72"/>
      <c r="BE258" s="72"/>
      <c r="BF258" s="72"/>
      <c r="BG258" s="72"/>
      <c r="BH258" s="72"/>
      <c r="BI258" s="72"/>
      <c r="BJ258" s="72"/>
      <c r="BK258" s="72"/>
      <c r="BL258" s="72"/>
      <c r="BM258" s="72"/>
      <c r="BN258" s="72"/>
      <c r="BO258" s="72"/>
      <c r="BP258" s="72"/>
      <c r="BQ258" s="72"/>
      <c r="BR258" s="72"/>
      <c r="BS258" s="72"/>
      <c r="BT258" s="72"/>
      <c r="BU258" s="72"/>
      <c r="BV258" s="72"/>
      <c r="BW258" s="72"/>
      <c r="BX258" s="72"/>
      <c r="BY258" s="72"/>
    </row>
  </sheetData>
  <mergeCells count="9">
    <mergeCell ref="A1:M1"/>
    <mergeCell ref="B4:B5"/>
    <mergeCell ref="C4:C5"/>
    <mergeCell ref="D4:D5"/>
    <mergeCell ref="E4:E5"/>
    <mergeCell ref="F4:G4"/>
    <mergeCell ref="H4:I4"/>
    <mergeCell ref="J4:L4"/>
    <mergeCell ref="M4:M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0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B267"/>
  <sheetViews>
    <sheetView showGridLines="0" showZeros="0" view="pageBreakPreview" topLeftCell="B1" zoomScaleSheetLayoutView="100" workbookViewId="0">
      <selection activeCell="Q6" sqref="Q6"/>
    </sheetView>
  </sheetViews>
  <sheetFormatPr defaultRowHeight="11.25"/>
  <cols>
    <col min="1" max="1" width="4.5546875" style="50" hidden="1" customWidth="1"/>
    <col min="2" max="2" width="7.77734375" style="50" customWidth="1"/>
    <col min="3" max="3" width="4.21875" style="50" customWidth="1"/>
    <col min="4" max="5" width="7.77734375" style="50" customWidth="1"/>
    <col min="6" max="6" width="3.77734375" style="50" customWidth="1"/>
    <col min="7" max="7" width="7.77734375" style="50" customWidth="1"/>
    <col min="8" max="8" width="5.77734375" style="50" hidden="1" customWidth="1"/>
    <col min="9" max="9" width="10.44140625" style="74" customWidth="1"/>
    <col min="10" max="10" width="7.77734375" style="50" customWidth="1"/>
    <col min="11" max="11" width="15.77734375" style="50" customWidth="1"/>
    <col min="12" max="13" width="9.5546875" style="50" customWidth="1"/>
    <col min="14" max="14" width="25.77734375" style="50" customWidth="1"/>
    <col min="15" max="15" width="10.77734375" style="50" hidden="1" customWidth="1"/>
    <col min="16" max="16" width="4.77734375" style="50" customWidth="1"/>
    <col min="17" max="18" width="8" style="75" customWidth="1"/>
    <col min="19" max="23" width="9.77734375" style="50" customWidth="1"/>
    <col min="24" max="24" width="10.77734375" style="50" customWidth="1"/>
    <col min="25" max="16384" width="8.88671875" style="50"/>
  </cols>
  <sheetData>
    <row r="1" spans="1:24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</row>
    <row r="2" spans="1:24" ht="15" customHeight="1">
      <c r="A2" s="46"/>
      <c r="B2" s="46"/>
      <c r="C2" s="46"/>
      <c r="D2" s="46"/>
      <c r="E2" s="46"/>
      <c r="F2" s="46"/>
      <c r="G2" s="46"/>
      <c r="H2" s="46"/>
      <c r="I2" s="47"/>
      <c r="J2" s="46"/>
      <c r="K2" s="46"/>
      <c r="L2" s="46"/>
      <c r="N2" s="106"/>
      <c r="O2" s="48"/>
      <c r="P2" s="164" t="s">
        <v>126</v>
      </c>
      <c r="Q2" s="49"/>
      <c r="R2" s="49"/>
      <c r="S2" s="46"/>
      <c r="T2" s="46"/>
      <c r="U2" s="46"/>
      <c r="V2" s="46"/>
      <c r="W2" s="46"/>
      <c r="X2" s="46"/>
    </row>
    <row r="3" spans="1:24" ht="5.0999999999999996" customHeight="1">
      <c r="A3" s="46"/>
      <c r="B3" s="46"/>
      <c r="C3" s="46"/>
      <c r="D3" s="46"/>
      <c r="E3" s="46"/>
      <c r="F3" s="46"/>
      <c r="G3" s="46"/>
      <c r="H3" s="46"/>
      <c r="I3" s="47"/>
      <c r="J3" s="46"/>
      <c r="K3" s="46"/>
      <c r="L3" s="46"/>
      <c r="M3" s="46"/>
      <c r="N3" s="46"/>
      <c r="O3" s="46"/>
      <c r="P3" s="134"/>
      <c r="Q3" s="51"/>
      <c r="R3" s="51"/>
      <c r="S3" s="46"/>
      <c r="T3" s="46"/>
      <c r="U3" s="46"/>
      <c r="V3" s="46"/>
      <c r="W3" s="46"/>
      <c r="X3" s="46"/>
    </row>
    <row r="4" spans="1:24" s="54" customFormat="1" ht="24.95" customHeight="1">
      <c r="A4" s="107" t="s">
        <v>33</v>
      </c>
      <c r="B4" s="367" t="s">
        <v>170</v>
      </c>
      <c r="C4" s="256" t="s">
        <v>306</v>
      </c>
      <c r="D4" s="367" t="s">
        <v>308</v>
      </c>
      <c r="E4" s="391" t="s">
        <v>59</v>
      </c>
      <c r="F4" s="367" t="s">
        <v>60</v>
      </c>
      <c r="G4" s="393" t="s">
        <v>64</v>
      </c>
      <c r="H4" s="405" t="s">
        <v>309</v>
      </c>
      <c r="I4" s="393"/>
      <c r="J4" s="369" t="s">
        <v>36</v>
      </c>
      <c r="K4" s="369"/>
      <c r="L4" s="395" t="s">
        <v>37</v>
      </c>
      <c r="M4" s="396"/>
      <c r="N4" s="397"/>
      <c r="O4" s="262"/>
      <c r="P4" s="398" t="s">
        <v>27</v>
      </c>
      <c r="Q4" s="52"/>
      <c r="R4" s="52"/>
      <c r="S4" s="53"/>
      <c r="T4" s="53"/>
      <c r="U4" s="53"/>
      <c r="V4" s="53"/>
      <c r="W4" s="53"/>
      <c r="X4" s="53"/>
    </row>
    <row r="5" spans="1:24" s="54" customFormat="1" ht="24.95" customHeight="1">
      <c r="A5" s="108" t="s">
        <v>38</v>
      </c>
      <c r="B5" s="368"/>
      <c r="C5" s="257" t="s">
        <v>307</v>
      </c>
      <c r="D5" s="368"/>
      <c r="E5" s="392"/>
      <c r="F5" s="368"/>
      <c r="G5" s="394"/>
      <c r="H5" s="136" t="s">
        <v>65</v>
      </c>
      <c r="I5" s="255" t="s">
        <v>310</v>
      </c>
      <c r="J5" s="110" t="s">
        <v>39</v>
      </c>
      <c r="K5" s="109" t="s">
        <v>40</v>
      </c>
      <c r="L5" s="109" t="s">
        <v>311</v>
      </c>
      <c r="M5" s="110" t="s">
        <v>39</v>
      </c>
      <c r="N5" s="110" t="s">
        <v>40</v>
      </c>
      <c r="O5" s="109" t="s">
        <v>54</v>
      </c>
      <c r="P5" s="399"/>
      <c r="Q5" s="55"/>
      <c r="R5" s="55"/>
      <c r="S5" s="56"/>
      <c r="T5" s="56" t="s">
        <v>65</v>
      </c>
      <c r="U5" s="56"/>
      <c r="V5" s="56"/>
      <c r="W5" s="56"/>
      <c r="X5" s="57"/>
    </row>
    <row r="6" spans="1:24" s="176" customFormat="1" ht="24.95" customHeight="1">
      <c r="A6" s="258">
        <v>1</v>
      </c>
      <c r="B6" s="168" t="s">
        <v>46</v>
      </c>
      <c r="C6" s="258">
        <v>1</v>
      </c>
      <c r="D6" s="258" t="s">
        <v>312</v>
      </c>
      <c r="E6" s="169" t="s">
        <v>132</v>
      </c>
      <c r="F6" s="170" t="s">
        <v>133</v>
      </c>
      <c r="G6" s="170">
        <v>177</v>
      </c>
      <c r="H6" s="171"/>
      <c r="I6" s="171">
        <v>99</v>
      </c>
      <c r="J6" s="170" t="s">
        <v>134</v>
      </c>
      <c r="K6" s="170" t="s">
        <v>135</v>
      </c>
      <c r="L6" s="170"/>
      <c r="M6" s="172"/>
      <c r="N6" s="172"/>
      <c r="O6" s="172"/>
      <c r="P6" s="173"/>
      <c r="Q6" s="174"/>
      <c r="R6" s="242" t="str">
        <f>CONCATENATE(F6,J6)</f>
        <v>답공</v>
      </c>
      <c r="S6" s="243" t="str">
        <f>IF(G6&gt;=I6,"-","err")</f>
        <v>-</v>
      </c>
      <c r="T6" s="139" t="str">
        <f>IF(H6=0,"1","2")</f>
        <v>1</v>
      </c>
      <c r="U6" s="175"/>
      <c r="V6" s="175"/>
      <c r="W6" s="175"/>
      <c r="X6" s="175"/>
    </row>
    <row r="7" spans="1:24" s="176" customFormat="1" ht="24.95" customHeight="1">
      <c r="A7" s="258">
        <v>2</v>
      </c>
      <c r="B7" s="168" t="s">
        <v>46</v>
      </c>
      <c r="C7" s="258">
        <v>2</v>
      </c>
      <c r="D7" s="258" t="s">
        <v>312</v>
      </c>
      <c r="E7" s="169" t="s">
        <v>171</v>
      </c>
      <c r="F7" s="170" t="s">
        <v>133</v>
      </c>
      <c r="G7" s="170">
        <v>1828</v>
      </c>
      <c r="H7" s="170"/>
      <c r="I7" s="171">
        <v>47</v>
      </c>
      <c r="J7" s="170" t="s">
        <v>134</v>
      </c>
      <c r="K7" s="170" t="s">
        <v>135</v>
      </c>
      <c r="L7" s="170"/>
      <c r="M7" s="172"/>
      <c r="N7" s="172"/>
      <c r="O7" s="172"/>
      <c r="P7" s="173"/>
      <c r="Q7" s="174"/>
      <c r="R7" s="242" t="str">
        <f t="shared" ref="R7:R70" si="0">CONCATENATE(F7,J7)</f>
        <v>답공</v>
      </c>
      <c r="S7" s="243" t="str">
        <f t="shared" ref="S7:S70" si="1">IF(G7&gt;=I7,"-","err")</f>
        <v>-</v>
      </c>
      <c r="T7" s="139" t="str">
        <f>IF(H7=0,"1","2")</f>
        <v>1</v>
      </c>
      <c r="U7" s="175"/>
      <c r="V7" s="175"/>
      <c r="W7" s="175"/>
      <c r="X7" s="175"/>
    </row>
    <row r="8" spans="1:24" s="176" customFormat="1" ht="24.95" customHeight="1">
      <c r="A8" s="258">
        <v>3</v>
      </c>
      <c r="B8" s="168" t="s">
        <v>46</v>
      </c>
      <c r="C8" s="258">
        <v>3</v>
      </c>
      <c r="D8" s="258" t="s">
        <v>312</v>
      </c>
      <c r="E8" s="169" t="s">
        <v>175</v>
      </c>
      <c r="F8" s="170" t="s">
        <v>176</v>
      </c>
      <c r="G8" s="170">
        <v>2522</v>
      </c>
      <c r="H8" s="171">
        <v>0</v>
      </c>
      <c r="I8" s="171">
        <v>59</v>
      </c>
      <c r="J8" s="170" t="s">
        <v>177</v>
      </c>
      <c r="K8" s="170" t="s">
        <v>178</v>
      </c>
      <c r="L8" s="170"/>
      <c r="M8" s="172"/>
      <c r="N8" s="172"/>
      <c r="O8" s="172"/>
      <c r="P8" s="173"/>
      <c r="Q8" s="174"/>
      <c r="R8" s="242" t="str">
        <f t="shared" si="0"/>
        <v>제국</v>
      </c>
      <c r="S8" s="243" t="str">
        <f t="shared" si="1"/>
        <v>-</v>
      </c>
      <c r="T8" s="139" t="str">
        <f>IF(H8=0,"1","2")</f>
        <v>1</v>
      </c>
      <c r="U8" s="175"/>
      <c r="V8" s="175"/>
      <c r="W8" s="175"/>
      <c r="X8" s="175"/>
    </row>
    <row r="9" spans="1:24" s="140" customFormat="1" ht="24.95" customHeight="1">
      <c r="A9" s="111"/>
      <c r="B9" s="111"/>
      <c r="C9" s="111"/>
      <c r="D9" s="111"/>
      <c r="E9" s="122"/>
      <c r="F9" s="112"/>
      <c r="G9" s="112"/>
      <c r="H9" s="112"/>
      <c r="I9" s="135"/>
      <c r="J9" s="112"/>
      <c r="K9" s="112"/>
      <c r="L9" s="112"/>
      <c r="M9" s="114"/>
      <c r="N9" s="114"/>
      <c r="O9" s="114"/>
      <c r="P9" s="115"/>
      <c r="Q9" s="138"/>
      <c r="R9" s="242" t="str">
        <f t="shared" si="0"/>
        <v/>
      </c>
      <c r="S9" s="243" t="str">
        <f t="shared" si="1"/>
        <v>-</v>
      </c>
      <c r="T9" s="139" t="str">
        <f t="shared" ref="T9:T30" si="2">IF(H9=0,"1","2")</f>
        <v>1</v>
      </c>
      <c r="U9" s="61"/>
      <c r="V9" s="61"/>
      <c r="W9" s="61"/>
      <c r="X9" s="139"/>
    </row>
    <row r="10" spans="1:24" s="140" customFormat="1" ht="24.95" customHeight="1">
      <c r="A10" s="111"/>
      <c r="B10" s="111"/>
      <c r="C10" s="111"/>
      <c r="D10" s="111"/>
      <c r="E10" s="122"/>
      <c r="F10" s="112"/>
      <c r="G10" s="112"/>
      <c r="H10" s="112"/>
      <c r="I10" s="135"/>
      <c r="J10" s="112"/>
      <c r="K10" s="112"/>
      <c r="L10" s="112"/>
      <c r="M10" s="114"/>
      <c r="N10" s="114"/>
      <c r="O10" s="114"/>
      <c r="P10" s="115"/>
      <c r="Q10" s="138"/>
      <c r="R10" s="242" t="str">
        <f t="shared" si="0"/>
        <v/>
      </c>
      <c r="S10" s="243" t="str">
        <f t="shared" si="1"/>
        <v>-</v>
      </c>
      <c r="T10" s="139" t="str">
        <f t="shared" si="2"/>
        <v>1</v>
      </c>
      <c r="U10" s="61"/>
      <c r="V10" s="61"/>
      <c r="W10" s="61"/>
      <c r="X10" s="139"/>
    </row>
    <row r="11" spans="1:24" s="140" customFormat="1" ht="24.95" customHeight="1">
      <c r="A11" s="111"/>
      <c r="B11" s="111"/>
      <c r="C11" s="111"/>
      <c r="D11" s="111"/>
      <c r="E11" s="130"/>
      <c r="F11" s="112"/>
      <c r="G11" s="112"/>
      <c r="H11" s="112"/>
      <c r="I11" s="135"/>
      <c r="J11" s="112"/>
      <c r="K11" s="112"/>
      <c r="L11" s="112"/>
      <c r="M11" s="114"/>
      <c r="N11" s="114"/>
      <c r="O11" s="114"/>
      <c r="P11" s="115"/>
      <c r="Q11" s="138"/>
      <c r="R11" s="242" t="str">
        <f t="shared" si="0"/>
        <v/>
      </c>
      <c r="S11" s="243" t="str">
        <f t="shared" si="1"/>
        <v>-</v>
      </c>
      <c r="T11" s="139" t="str">
        <f t="shared" si="2"/>
        <v>1</v>
      </c>
      <c r="U11" s="61"/>
      <c r="V11" s="61"/>
      <c r="W11" s="61"/>
      <c r="X11" s="139"/>
    </row>
    <row r="12" spans="1:24" s="62" customFormat="1" ht="24.95" customHeight="1">
      <c r="A12" s="111"/>
      <c r="B12" s="111"/>
      <c r="C12" s="111"/>
      <c r="D12" s="111"/>
      <c r="E12" s="130"/>
      <c r="F12" s="112"/>
      <c r="G12" s="112"/>
      <c r="H12" s="112"/>
      <c r="I12" s="135"/>
      <c r="J12" s="112"/>
      <c r="K12" s="112"/>
      <c r="L12" s="112"/>
      <c r="M12" s="114"/>
      <c r="N12" s="114"/>
      <c r="O12" s="114"/>
      <c r="P12" s="115"/>
      <c r="Q12" s="60"/>
      <c r="R12" s="242" t="str">
        <f t="shared" si="0"/>
        <v/>
      </c>
      <c r="S12" s="243" t="str">
        <f t="shared" si="1"/>
        <v>-</v>
      </c>
      <c r="T12" s="61" t="str">
        <f t="shared" si="2"/>
        <v>1</v>
      </c>
      <c r="U12" s="61"/>
      <c r="V12" s="61"/>
      <c r="W12" s="61"/>
      <c r="X12" s="61"/>
    </row>
    <row r="13" spans="1:24" s="62" customFormat="1" ht="24.95" customHeight="1">
      <c r="A13" s="111"/>
      <c r="B13" s="111"/>
      <c r="C13" s="111"/>
      <c r="D13" s="111"/>
      <c r="E13" s="130"/>
      <c r="F13" s="112"/>
      <c r="G13" s="112"/>
      <c r="H13" s="112"/>
      <c r="I13" s="135"/>
      <c r="J13" s="112"/>
      <c r="K13" s="112"/>
      <c r="L13" s="112"/>
      <c r="M13" s="114"/>
      <c r="N13" s="114"/>
      <c r="O13" s="114"/>
      <c r="P13" s="115"/>
      <c r="Q13" s="60"/>
      <c r="R13" s="242" t="str">
        <f t="shared" si="0"/>
        <v/>
      </c>
      <c r="S13" s="243" t="str">
        <f t="shared" si="1"/>
        <v>-</v>
      </c>
      <c r="T13" s="61" t="str">
        <f t="shared" si="2"/>
        <v>1</v>
      </c>
      <c r="U13" s="61"/>
      <c r="V13" s="61"/>
      <c r="W13" s="61"/>
      <c r="X13" s="61"/>
    </row>
    <row r="14" spans="1:24" s="62" customFormat="1" ht="24.95" customHeight="1">
      <c r="A14" s="111"/>
      <c r="B14" s="111"/>
      <c r="C14" s="111"/>
      <c r="D14" s="111"/>
      <c r="E14" s="122"/>
      <c r="F14" s="112"/>
      <c r="G14" s="112"/>
      <c r="H14" s="112"/>
      <c r="I14" s="112"/>
      <c r="J14" s="112"/>
      <c r="K14" s="112"/>
      <c r="L14" s="112"/>
      <c r="M14" s="114"/>
      <c r="N14" s="114"/>
      <c r="O14" s="114"/>
      <c r="P14" s="115"/>
      <c r="Q14" s="60"/>
      <c r="R14" s="242" t="str">
        <f t="shared" si="0"/>
        <v/>
      </c>
      <c r="S14" s="243" t="str">
        <f t="shared" si="1"/>
        <v>-</v>
      </c>
      <c r="T14" s="61" t="str">
        <f t="shared" si="2"/>
        <v>1</v>
      </c>
      <c r="U14" s="61"/>
      <c r="V14" s="61"/>
      <c r="W14" s="61"/>
      <c r="X14" s="61"/>
    </row>
    <row r="15" spans="1:24" s="62" customFormat="1" ht="24.95" customHeight="1">
      <c r="A15" s="111"/>
      <c r="B15" s="111"/>
      <c r="C15" s="111"/>
      <c r="D15" s="111"/>
      <c r="E15" s="122"/>
      <c r="F15" s="112"/>
      <c r="G15" s="112"/>
      <c r="H15" s="112"/>
      <c r="I15" s="135"/>
      <c r="J15" s="112"/>
      <c r="K15" s="112"/>
      <c r="L15" s="112"/>
      <c r="M15" s="114"/>
      <c r="N15" s="114"/>
      <c r="O15" s="114"/>
      <c r="P15" s="115"/>
      <c r="Q15" s="60"/>
      <c r="R15" s="242" t="str">
        <f t="shared" si="0"/>
        <v/>
      </c>
      <c r="S15" s="243" t="str">
        <f t="shared" si="1"/>
        <v>-</v>
      </c>
      <c r="T15" s="61" t="str">
        <f t="shared" si="2"/>
        <v>1</v>
      </c>
      <c r="U15" s="61"/>
      <c r="V15" s="61"/>
      <c r="W15" s="61"/>
      <c r="X15" s="61"/>
    </row>
    <row r="16" spans="1:24" s="62" customFormat="1" ht="24.95" customHeight="1">
      <c r="A16" s="111"/>
      <c r="B16" s="111"/>
      <c r="C16" s="111"/>
      <c r="D16" s="111"/>
      <c r="E16" s="122"/>
      <c r="F16" s="112"/>
      <c r="G16" s="112"/>
      <c r="H16" s="112"/>
      <c r="I16" s="112"/>
      <c r="J16" s="112"/>
      <c r="K16" s="112"/>
      <c r="L16" s="112"/>
      <c r="M16" s="124"/>
      <c r="N16" s="114"/>
      <c r="O16" s="114"/>
      <c r="P16" s="115"/>
      <c r="Q16" s="60"/>
      <c r="R16" s="242" t="str">
        <f t="shared" si="0"/>
        <v/>
      </c>
      <c r="S16" s="243" t="str">
        <f t="shared" si="1"/>
        <v>-</v>
      </c>
      <c r="T16" s="61" t="str">
        <f t="shared" si="2"/>
        <v>1</v>
      </c>
      <c r="U16" s="61"/>
      <c r="V16" s="61"/>
      <c r="W16" s="61"/>
      <c r="X16" s="61"/>
    </row>
    <row r="17" spans="1:80" s="62" customFormat="1" ht="24.95" customHeight="1">
      <c r="A17" s="111"/>
      <c r="B17" s="111"/>
      <c r="C17" s="111"/>
      <c r="D17" s="111"/>
      <c r="E17" s="122"/>
      <c r="F17" s="112"/>
      <c r="G17" s="112"/>
      <c r="H17" s="112"/>
      <c r="I17" s="112"/>
      <c r="J17" s="112"/>
      <c r="K17" s="112"/>
      <c r="L17" s="112"/>
      <c r="M17" s="114"/>
      <c r="N17" s="114"/>
      <c r="O17" s="114"/>
      <c r="P17" s="115"/>
      <c r="Q17" s="60"/>
      <c r="R17" s="242" t="str">
        <f t="shared" si="0"/>
        <v/>
      </c>
      <c r="S17" s="243" t="str">
        <f t="shared" si="1"/>
        <v>-</v>
      </c>
      <c r="T17" s="61" t="str">
        <f t="shared" si="2"/>
        <v>1</v>
      </c>
      <c r="U17" s="61"/>
      <c r="V17" s="61"/>
      <c r="W17" s="61"/>
      <c r="X17" s="61"/>
    </row>
    <row r="18" spans="1:80" s="62" customFormat="1" ht="24.95" customHeight="1">
      <c r="A18" s="111"/>
      <c r="B18" s="111"/>
      <c r="C18" s="111"/>
      <c r="D18" s="111"/>
      <c r="E18" s="130"/>
      <c r="F18" s="112"/>
      <c r="G18" s="112"/>
      <c r="H18" s="112"/>
      <c r="I18" s="112"/>
      <c r="J18" s="112"/>
      <c r="K18" s="112"/>
      <c r="L18" s="112"/>
      <c r="M18" s="114"/>
      <c r="N18" s="114"/>
      <c r="O18" s="114"/>
      <c r="P18" s="115"/>
      <c r="Q18" s="60"/>
      <c r="R18" s="242" t="str">
        <f t="shared" si="0"/>
        <v/>
      </c>
      <c r="S18" s="243" t="str">
        <f t="shared" si="1"/>
        <v>-</v>
      </c>
      <c r="T18" s="61" t="str">
        <f t="shared" si="2"/>
        <v>1</v>
      </c>
      <c r="U18" s="61"/>
      <c r="V18" s="61"/>
      <c r="W18" s="61"/>
      <c r="X18" s="61"/>
    </row>
    <row r="19" spans="1:80" s="62" customFormat="1" ht="24.95" customHeight="1">
      <c r="A19" s="111"/>
      <c r="B19" s="111"/>
      <c r="C19" s="111"/>
      <c r="D19" s="111"/>
      <c r="E19" s="122"/>
      <c r="F19" s="112"/>
      <c r="G19" s="112"/>
      <c r="H19" s="112"/>
      <c r="I19" s="112"/>
      <c r="J19" s="112"/>
      <c r="K19" s="112"/>
      <c r="L19" s="112"/>
      <c r="M19" s="114"/>
      <c r="N19" s="114"/>
      <c r="O19" s="114"/>
      <c r="P19" s="115"/>
      <c r="Q19" s="60"/>
      <c r="R19" s="242" t="str">
        <f t="shared" si="0"/>
        <v/>
      </c>
      <c r="S19" s="243" t="str">
        <f t="shared" si="1"/>
        <v>-</v>
      </c>
      <c r="T19" s="61" t="str">
        <f t="shared" si="2"/>
        <v>1</v>
      </c>
      <c r="U19" s="61"/>
      <c r="V19" s="61"/>
      <c r="W19" s="61"/>
      <c r="X19" s="61"/>
    </row>
    <row r="20" spans="1:80" s="62" customFormat="1" ht="24.95" customHeight="1">
      <c r="A20" s="111"/>
      <c r="B20" s="111"/>
      <c r="C20" s="111"/>
      <c r="D20" s="111"/>
      <c r="E20" s="130"/>
      <c r="F20" s="112"/>
      <c r="G20" s="112"/>
      <c r="H20" s="112"/>
      <c r="I20" s="112"/>
      <c r="J20" s="112"/>
      <c r="K20" s="112"/>
      <c r="L20" s="112"/>
      <c r="M20" s="114"/>
      <c r="N20" s="114"/>
      <c r="O20" s="114"/>
      <c r="P20" s="115"/>
      <c r="Q20" s="60"/>
      <c r="R20" s="242" t="str">
        <f t="shared" si="0"/>
        <v/>
      </c>
      <c r="S20" s="243" t="str">
        <f t="shared" si="1"/>
        <v>-</v>
      </c>
      <c r="T20" s="61" t="str">
        <f t="shared" si="2"/>
        <v>1</v>
      </c>
      <c r="U20" s="61"/>
      <c r="V20" s="61"/>
      <c r="W20" s="61"/>
      <c r="X20" s="61"/>
    </row>
    <row r="21" spans="1:80" s="62" customFormat="1" ht="24.95" customHeight="1">
      <c r="A21" s="111"/>
      <c r="B21" s="111"/>
      <c r="C21" s="111"/>
      <c r="D21" s="111"/>
      <c r="E21" s="130"/>
      <c r="F21" s="112"/>
      <c r="G21" s="112"/>
      <c r="H21" s="112"/>
      <c r="I21" s="112"/>
      <c r="J21" s="112"/>
      <c r="K21" s="112"/>
      <c r="L21" s="112"/>
      <c r="M21" s="114"/>
      <c r="N21" s="114"/>
      <c r="O21" s="114"/>
      <c r="P21" s="115"/>
      <c r="Q21" s="60"/>
      <c r="R21" s="242" t="str">
        <f t="shared" si="0"/>
        <v/>
      </c>
      <c r="S21" s="243" t="str">
        <f t="shared" si="1"/>
        <v>-</v>
      </c>
      <c r="T21" s="61" t="str">
        <f t="shared" si="2"/>
        <v>1</v>
      </c>
      <c r="U21" s="61"/>
      <c r="V21" s="61"/>
      <c r="W21" s="61"/>
      <c r="X21" s="61"/>
    </row>
    <row r="22" spans="1:80" s="62" customFormat="1" ht="24.95" customHeight="1">
      <c r="A22" s="111"/>
      <c r="B22" s="111"/>
      <c r="C22" s="111"/>
      <c r="D22" s="111"/>
      <c r="E22" s="122"/>
      <c r="F22" s="112"/>
      <c r="G22" s="112"/>
      <c r="H22" s="112"/>
      <c r="I22" s="112"/>
      <c r="J22" s="112"/>
      <c r="K22" s="112"/>
      <c r="L22" s="112"/>
      <c r="M22" s="114"/>
      <c r="N22" s="114"/>
      <c r="O22" s="114"/>
      <c r="P22" s="115"/>
      <c r="Q22" s="60"/>
      <c r="R22" s="242" t="str">
        <f t="shared" si="0"/>
        <v/>
      </c>
      <c r="S22" s="243" t="str">
        <f t="shared" si="1"/>
        <v>-</v>
      </c>
      <c r="T22" s="61" t="str">
        <f t="shared" si="2"/>
        <v>1</v>
      </c>
      <c r="U22" s="61"/>
      <c r="V22" s="61"/>
      <c r="W22" s="61"/>
      <c r="X22" s="61"/>
    </row>
    <row r="23" spans="1:80" s="62" customFormat="1" ht="24.95" customHeight="1">
      <c r="A23" s="111"/>
      <c r="B23" s="111"/>
      <c r="C23" s="111"/>
      <c r="D23" s="111"/>
      <c r="E23" s="130"/>
      <c r="F23" s="112"/>
      <c r="G23" s="112"/>
      <c r="H23" s="112"/>
      <c r="I23" s="112"/>
      <c r="J23" s="112"/>
      <c r="K23" s="112"/>
      <c r="L23" s="112"/>
      <c r="M23" s="114"/>
      <c r="N23" s="114"/>
      <c r="O23" s="114"/>
      <c r="P23" s="115"/>
      <c r="Q23" s="60"/>
      <c r="R23" s="242" t="str">
        <f t="shared" si="0"/>
        <v/>
      </c>
      <c r="S23" s="243" t="str">
        <f t="shared" si="1"/>
        <v>-</v>
      </c>
      <c r="T23" s="61" t="str">
        <f t="shared" si="2"/>
        <v>1</v>
      </c>
      <c r="U23" s="61"/>
      <c r="V23" s="61"/>
      <c r="W23" s="61"/>
      <c r="X23" s="61"/>
    </row>
    <row r="24" spans="1:80" s="62" customFormat="1" ht="24.95" customHeight="1">
      <c r="A24" s="111"/>
      <c r="B24" s="111"/>
      <c r="C24" s="111"/>
      <c r="D24" s="111"/>
      <c r="E24" s="130"/>
      <c r="F24" s="112"/>
      <c r="G24" s="112"/>
      <c r="H24" s="112"/>
      <c r="I24" s="112"/>
      <c r="J24" s="112"/>
      <c r="K24" s="112"/>
      <c r="L24" s="112"/>
      <c r="M24" s="114"/>
      <c r="N24" s="114"/>
      <c r="O24" s="114"/>
      <c r="P24" s="115"/>
      <c r="Q24" s="60"/>
      <c r="R24" s="242" t="str">
        <f t="shared" si="0"/>
        <v/>
      </c>
      <c r="S24" s="243" t="str">
        <f t="shared" si="1"/>
        <v>-</v>
      </c>
      <c r="T24" s="61" t="str">
        <f t="shared" si="2"/>
        <v>1</v>
      </c>
      <c r="U24" s="61"/>
      <c r="V24" s="61"/>
      <c r="W24" s="61"/>
      <c r="X24" s="61"/>
    </row>
    <row r="25" spans="1:80" s="62" customFormat="1" ht="24.95" customHeight="1">
      <c r="A25" s="111"/>
      <c r="B25" s="111"/>
      <c r="C25" s="111"/>
      <c r="D25" s="111"/>
      <c r="E25" s="130"/>
      <c r="F25" s="112"/>
      <c r="G25" s="112"/>
      <c r="H25" s="112"/>
      <c r="I25" s="112"/>
      <c r="J25" s="112"/>
      <c r="K25" s="112"/>
      <c r="L25" s="112"/>
      <c r="M25" s="114"/>
      <c r="N25" s="114"/>
      <c r="O25" s="114"/>
      <c r="P25" s="115"/>
      <c r="Q25" s="60"/>
      <c r="R25" s="242" t="str">
        <f t="shared" si="0"/>
        <v/>
      </c>
      <c r="S25" s="243" t="str">
        <f t="shared" si="1"/>
        <v>-</v>
      </c>
      <c r="T25" s="61" t="str">
        <f t="shared" si="2"/>
        <v>1</v>
      </c>
      <c r="U25" s="61"/>
      <c r="V25" s="61"/>
      <c r="W25" s="61"/>
      <c r="X25" s="61"/>
    </row>
    <row r="26" spans="1:80" s="62" customFormat="1" ht="24.95" customHeight="1">
      <c r="A26" s="111"/>
      <c r="B26" s="111"/>
      <c r="C26" s="111"/>
      <c r="D26" s="111"/>
      <c r="E26" s="130"/>
      <c r="F26" s="112"/>
      <c r="G26" s="112"/>
      <c r="H26" s="112"/>
      <c r="I26" s="112"/>
      <c r="J26" s="112"/>
      <c r="K26" s="112"/>
      <c r="L26" s="112"/>
      <c r="M26" s="114"/>
      <c r="N26" s="114"/>
      <c r="O26" s="114"/>
      <c r="P26" s="115"/>
      <c r="Q26" s="60"/>
      <c r="R26" s="242" t="str">
        <f t="shared" si="0"/>
        <v/>
      </c>
      <c r="S26" s="243" t="str">
        <f t="shared" si="1"/>
        <v>-</v>
      </c>
      <c r="T26" s="61" t="str">
        <f t="shared" si="2"/>
        <v>1</v>
      </c>
      <c r="U26" s="61"/>
      <c r="V26" s="61"/>
      <c r="W26" s="61"/>
      <c r="X26" s="61"/>
    </row>
    <row r="27" spans="1:80" s="62" customFormat="1" ht="24.95" customHeight="1">
      <c r="A27" s="111"/>
      <c r="B27" s="111"/>
      <c r="C27" s="111"/>
      <c r="D27" s="111"/>
      <c r="E27" s="130"/>
      <c r="F27" s="112"/>
      <c r="G27" s="112"/>
      <c r="H27" s="112"/>
      <c r="I27" s="112"/>
      <c r="J27" s="112"/>
      <c r="K27" s="112"/>
      <c r="L27" s="112"/>
      <c r="M27" s="114"/>
      <c r="N27" s="114"/>
      <c r="O27" s="114"/>
      <c r="P27" s="115"/>
      <c r="Q27" s="60"/>
      <c r="R27" s="242" t="str">
        <f t="shared" si="0"/>
        <v/>
      </c>
      <c r="S27" s="243" t="str">
        <f t="shared" si="1"/>
        <v>-</v>
      </c>
      <c r="T27" s="61" t="str">
        <f t="shared" si="2"/>
        <v>1</v>
      </c>
      <c r="U27" s="61"/>
      <c r="V27" s="61"/>
      <c r="W27" s="61"/>
      <c r="X27" s="61"/>
    </row>
    <row r="28" spans="1:80" s="62" customFormat="1" ht="24.95" customHeight="1">
      <c r="A28" s="111"/>
      <c r="B28" s="111"/>
      <c r="C28" s="111"/>
      <c r="D28" s="111"/>
      <c r="E28" s="130"/>
      <c r="F28" s="112"/>
      <c r="G28" s="112"/>
      <c r="H28" s="112"/>
      <c r="I28" s="112"/>
      <c r="J28" s="112"/>
      <c r="K28" s="112"/>
      <c r="L28" s="112"/>
      <c r="M28" s="123"/>
      <c r="N28" s="114"/>
      <c r="O28" s="114"/>
      <c r="P28" s="115"/>
      <c r="Q28" s="60"/>
      <c r="R28" s="242" t="str">
        <f t="shared" si="0"/>
        <v/>
      </c>
      <c r="S28" s="243" t="str">
        <f t="shared" si="1"/>
        <v>-</v>
      </c>
      <c r="T28" s="61" t="str">
        <f t="shared" si="2"/>
        <v>1</v>
      </c>
      <c r="U28" s="61"/>
      <c r="V28" s="61"/>
      <c r="W28" s="61"/>
      <c r="X28" s="61"/>
    </row>
    <row r="29" spans="1:80" s="62" customFormat="1" ht="24.95" customHeight="1">
      <c r="A29" s="111"/>
      <c r="B29" s="111"/>
      <c r="C29" s="111"/>
      <c r="D29" s="111"/>
      <c r="E29" s="122"/>
      <c r="F29" s="112"/>
      <c r="G29" s="112"/>
      <c r="H29" s="112"/>
      <c r="I29" s="135"/>
      <c r="J29" s="112"/>
      <c r="K29" s="112"/>
      <c r="L29" s="112"/>
      <c r="M29" s="114"/>
      <c r="N29" s="114"/>
      <c r="O29" s="114"/>
      <c r="P29" s="115"/>
      <c r="Q29" s="60"/>
      <c r="R29" s="242" t="str">
        <f t="shared" si="0"/>
        <v/>
      </c>
      <c r="S29" s="243" t="str">
        <f t="shared" si="1"/>
        <v>-</v>
      </c>
      <c r="T29" s="61" t="str">
        <f t="shared" si="2"/>
        <v>1</v>
      </c>
      <c r="U29" s="61"/>
      <c r="V29" s="61"/>
      <c r="W29" s="61"/>
      <c r="X29" s="61"/>
    </row>
    <row r="30" spans="1:80" s="62" customFormat="1" ht="24.95" customHeight="1">
      <c r="A30" s="111"/>
      <c r="B30" s="111"/>
      <c r="C30" s="111"/>
      <c r="D30" s="111"/>
      <c r="E30" s="130"/>
      <c r="F30" s="112"/>
      <c r="G30" s="112"/>
      <c r="H30" s="112"/>
      <c r="I30" s="112"/>
      <c r="J30" s="112"/>
      <c r="K30" s="112"/>
      <c r="L30" s="112"/>
      <c r="M30" s="114"/>
      <c r="N30" s="114"/>
      <c r="O30" s="114"/>
      <c r="P30" s="115"/>
      <c r="Q30" s="60"/>
      <c r="R30" s="242" t="str">
        <f t="shared" si="0"/>
        <v/>
      </c>
      <c r="S30" s="243" t="str">
        <f t="shared" si="1"/>
        <v>-</v>
      </c>
      <c r="T30" s="61" t="str">
        <f t="shared" si="2"/>
        <v>1</v>
      </c>
      <c r="U30" s="61"/>
      <c r="V30" s="61"/>
      <c r="W30" s="61"/>
      <c r="X30" s="61"/>
    </row>
    <row r="31" spans="1:80" s="73" customFormat="1" ht="24.95" customHeight="1">
      <c r="A31" s="117" t="s">
        <v>41</v>
      </c>
      <c r="B31" s="117"/>
      <c r="C31" s="117"/>
      <c r="D31" s="117"/>
      <c r="E31" s="117"/>
      <c r="F31" s="118"/>
      <c r="G31" s="119"/>
      <c r="H31" s="119">
        <f>SUM(H6:H30)</f>
        <v>0</v>
      </c>
      <c r="I31" s="119">
        <f>SUM(I6:I30)</f>
        <v>205</v>
      </c>
      <c r="J31" s="120"/>
      <c r="K31" s="120"/>
      <c r="L31" s="120"/>
      <c r="M31" s="120"/>
      <c r="N31" s="120"/>
      <c r="O31" s="120"/>
      <c r="P31" s="121"/>
      <c r="Q31" s="60"/>
      <c r="R31" s="242" t="str">
        <f t="shared" si="0"/>
        <v/>
      </c>
      <c r="S31" s="243" t="str">
        <f t="shared" si="1"/>
        <v>err</v>
      </c>
      <c r="T31" s="61"/>
      <c r="U31" s="61"/>
      <c r="V31" s="61"/>
      <c r="W31" s="61"/>
      <c r="X31" s="61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</row>
    <row r="32" spans="1:80" s="62" customFormat="1" ht="24.95" customHeight="1">
      <c r="A32" s="111">
        <v>26</v>
      </c>
      <c r="B32" s="111"/>
      <c r="C32" s="111"/>
      <c r="D32" s="111"/>
      <c r="E32" s="122"/>
      <c r="F32" s="112"/>
      <c r="G32" s="112"/>
      <c r="H32" s="112"/>
      <c r="I32" s="113"/>
      <c r="J32" s="112"/>
      <c r="K32" s="112"/>
      <c r="L32" s="112"/>
      <c r="M32" s="114"/>
      <c r="N32" s="114"/>
      <c r="O32" s="114"/>
      <c r="P32" s="115"/>
      <c r="Q32" s="60"/>
      <c r="R32" s="242" t="str">
        <f t="shared" si="0"/>
        <v/>
      </c>
      <c r="S32" s="243" t="str">
        <f t="shared" si="1"/>
        <v>-</v>
      </c>
      <c r="T32" s="61"/>
      <c r="U32" s="61"/>
      <c r="V32" s="61"/>
      <c r="W32" s="61"/>
      <c r="X32" s="61"/>
    </row>
    <row r="33" spans="1:24" s="62" customFormat="1" ht="24.95" customHeight="1">
      <c r="A33" s="111">
        <v>27</v>
      </c>
      <c r="B33" s="111"/>
      <c r="C33" s="111"/>
      <c r="D33" s="111"/>
      <c r="E33" s="122"/>
      <c r="F33" s="112"/>
      <c r="G33" s="112"/>
      <c r="H33" s="112"/>
      <c r="I33" s="113"/>
      <c r="J33" s="112"/>
      <c r="K33" s="112"/>
      <c r="L33" s="112"/>
      <c r="M33" s="114"/>
      <c r="N33" s="114"/>
      <c r="O33" s="114"/>
      <c r="P33" s="115"/>
      <c r="Q33" s="60"/>
      <c r="R33" s="242" t="str">
        <f t="shared" si="0"/>
        <v/>
      </c>
      <c r="S33" s="243" t="str">
        <f t="shared" si="1"/>
        <v>-</v>
      </c>
      <c r="T33" s="61"/>
      <c r="U33" s="61"/>
      <c r="V33" s="61"/>
      <c r="W33" s="61"/>
      <c r="X33" s="61"/>
    </row>
    <row r="34" spans="1:24" s="62" customFormat="1" ht="24.95" customHeight="1">
      <c r="A34" s="111">
        <v>28</v>
      </c>
      <c r="B34" s="111"/>
      <c r="C34" s="111"/>
      <c r="D34" s="111"/>
      <c r="E34" s="130"/>
      <c r="F34" s="112"/>
      <c r="G34" s="112"/>
      <c r="H34" s="112"/>
      <c r="I34" s="112"/>
      <c r="J34" s="112"/>
      <c r="K34" s="112"/>
      <c r="L34" s="112"/>
      <c r="M34" s="114"/>
      <c r="N34" s="114"/>
      <c r="O34" s="114"/>
      <c r="P34" s="115"/>
      <c r="Q34" s="60"/>
      <c r="R34" s="242" t="str">
        <f t="shared" si="0"/>
        <v/>
      </c>
      <c r="S34" s="243" t="str">
        <f t="shared" si="1"/>
        <v>-</v>
      </c>
      <c r="T34" s="61"/>
      <c r="U34" s="61"/>
      <c r="V34" s="61"/>
      <c r="W34" s="61"/>
      <c r="X34" s="61"/>
    </row>
    <row r="35" spans="1:24" s="62" customFormat="1" ht="24.95" customHeight="1">
      <c r="A35" s="111">
        <v>29</v>
      </c>
      <c r="B35" s="111"/>
      <c r="C35" s="111"/>
      <c r="D35" s="111"/>
      <c r="E35" s="130"/>
      <c r="F35" s="112"/>
      <c r="G35" s="112"/>
      <c r="H35" s="112"/>
      <c r="I35" s="112"/>
      <c r="J35" s="112"/>
      <c r="K35" s="112"/>
      <c r="L35" s="112"/>
      <c r="M35" s="114"/>
      <c r="N35" s="114"/>
      <c r="O35" s="114"/>
      <c r="P35" s="115"/>
      <c r="Q35" s="60"/>
      <c r="R35" s="242" t="str">
        <f t="shared" si="0"/>
        <v/>
      </c>
      <c r="S35" s="243" t="str">
        <f t="shared" si="1"/>
        <v>-</v>
      </c>
      <c r="T35" s="61"/>
      <c r="U35" s="61"/>
      <c r="V35" s="61"/>
      <c r="W35" s="61"/>
      <c r="X35" s="61"/>
    </row>
    <row r="36" spans="1:24" s="62" customFormat="1" ht="24.95" customHeight="1">
      <c r="A36" s="111">
        <v>30</v>
      </c>
      <c r="B36" s="111"/>
      <c r="C36" s="111"/>
      <c r="D36" s="111"/>
      <c r="E36" s="122"/>
      <c r="F36" s="112"/>
      <c r="G36" s="112"/>
      <c r="H36" s="112"/>
      <c r="I36" s="112"/>
      <c r="J36" s="112"/>
      <c r="K36" s="112"/>
      <c r="L36" s="112"/>
      <c r="M36" s="114"/>
      <c r="N36" s="114"/>
      <c r="O36" s="114"/>
      <c r="P36" s="115"/>
      <c r="Q36" s="60"/>
      <c r="R36" s="242" t="str">
        <f t="shared" si="0"/>
        <v/>
      </c>
      <c r="S36" s="243" t="str">
        <f t="shared" si="1"/>
        <v>-</v>
      </c>
      <c r="T36" s="61"/>
      <c r="U36" s="61"/>
      <c r="V36" s="61"/>
      <c r="W36" s="61"/>
      <c r="X36" s="61"/>
    </row>
    <row r="37" spans="1:24" s="62" customFormat="1" ht="24.95" customHeight="1">
      <c r="A37" s="111">
        <v>31</v>
      </c>
      <c r="B37" s="111"/>
      <c r="C37" s="111"/>
      <c r="D37" s="111"/>
      <c r="E37" s="122"/>
      <c r="F37" s="112"/>
      <c r="G37" s="112"/>
      <c r="H37" s="112"/>
      <c r="I37" s="112"/>
      <c r="J37" s="112"/>
      <c r="K37" s="112"/>
      <c r="L37" s="112"/>
      <c r="M37" s="114"/>
      <c r="N37" s="114"/>
      <c r="O37" s="114"/>
      <c r="P37" s="115"/>
      <c r="Q37" s="60"/>
      <c r="R37" s="242" t="str">
        <f t="shared" si="0"/>
        <v/>
      </c>
      <c r="S37" s="243" t="str">
        <f t="shared" si="1"/>
        <v>-</v>
      </c>
      <c r="T37" s="61"/>
      <c r="U37" s="61"/>
      <c r="V37" s="61"/>
      <c r="W37" s="61"/>
      <c r="X37" s="61"/>
    </row>
    <row r="38" spans="1:24" s="62" customFormat="1" ht="24.95" customHeight="1">
      <c r="A38" s="111">
        <v>32</v>
      </c>
      <c r="B38" s="111"/>
      <c r="C38" s="111"/>
      <c r="D38" s="111"/>
      <c r="E38" s="130"/>
      <c r="F38" s="112"/>
      <c r="G38" s="112"/>
      <c r="H38" s="112"/>
      <c r="I38" s="112"/>
      <c r="J38" s="112"/>
      <c r="K38" s="112"/>
      <c r="L38" s="112"/>
      <c r="M38" s="114"/>
      <c r="N38" s="114"/>
      <c r="O38" s="114"/>
      <c r="P38" s="115"/>
      <c r="Q38" s="60"/>
      <c r="R38" s="242" t="str">
        <f t="shared" si="0"/>
        <v/>
      </c>
      <c r="S38" s="243" t="str">
        <f t="shared" si="1"/>
        <v>-</v>
      </c>
      <c r="T38" s="61"/>
      <c r="U38" s="61"/>
      <c r="V38" s="61"/>
      <c r="W38" s="61"/>
      <c r="X38" s="61"/>
    </row>
    <row r="39" spans="1:24" s="62" customFormat="1" ht="24.95" customHeight="1">
      <c r="A39" s="111">
        <v>33</v>
      </c>
      <c r="B39" s="111"/>
      <c r="C39" s="111"/>
      <c r="D39" s="111"/>
      <c r="E39" s="130"/>
      <c r="F39" s="112"/>
      <c r="G39" s="112"/>
      <c r="H39" s="112"/>
      <c r="I39" s="112"/>
      <c r="J39" s="112"/>
      <c r="K39" s="112"/>
      <c r="L39" s="112"/>
      <c r="M39" s="114"/>
      <c r="N39" s="114"/>
      <c r="O39" s="114"/>
      <c r="P39" s="115"/>
      <c r="Q39" s="60"/>
      <c r="R39" s="242" t="str">
        <f t="shared" si="0"/>
        <v/>
      </c>
      <c r="S39" s="243" t="str">
        <f t="shared" si="1"/>
        <v>-</v>
      </c>
      <c r="T39" s="61"/>
      <c r="U39" s="61"/>
      <c r="V39" s="61"/>
      <c r="W39" s="61"/>
      <c r="X39" s="61"/>
    </row>
    <row r="40" spans="1:24" s="62" customFormat="1" ht="24.95" customHeight="1">
      <c r="A40" s="111">
        <v>34</v>
      </c>
      <c r="B40" s="111"/>
      <c r="C40" s="111"/>
      <c r="D40" s="111"/>
      <c r="E40" s="130"/>
      <c r="F40" s="112"/>
      <c r="G40" s="112"/>
      <c r="H40" s="112"/>
      <c r="I40" s="112"/>
      <c r="J40" s="112"/>
      <c r="K40" s="112"/>
      <c r="L40" s="112"/>
      <c r="M40" s="114"/>
      <c r="N40" s="114"/>
      <c r="O40" s="114"/>
      <c r="P40" s="115"/>
      <c r="Q40" s="60"/>
      <c r="R40" s="242" t="str">
        <f t="shared" si="0"/>
        <v/>
      </c>
      <c r="S40" s="243" t="str">
        <f t="shared" si="1"/>
        <v>-</v>
      </c>
      <c r="T40" s="61"/>
      <c r="U40" s="61"/>
      <c r="V40" s="61"/>
      <c r="W40" s="61"/>
      <c r="X40" s="61"/>
    </row>
    <row r="41" spans="1:24" s="62" customFormat="1" ht="24.95" customHeight="1">
      <c r="A41" s="111">
        <v>35</v>
      </c>
      <c r="B41" s="111"/>
      <c r="C41" s="111"/>
      <c r="D41" s="111"/>
      <c r="E41" s="130"/>
      <c r="F41" s="112"/>
      <c r="G41" s="112"/>
      <c r="H41" s="112"/>
      <c r="I41" s="112"/>
      <c r="J41" s="112"/>
      <c r="K41" s="112"/>
      <c r="L41" s="112"/>
      <c r="M41" s="114"/>
      <c r="N41" s="114"/>
      <c r="O41" s="114"/>
      <c r="P41" s="115"/>
      <c r="Q41" s="60"/>
      <c r="R41" s="242" t="str">
        <f t="shared" si="0"/>
        <v/>
      </c>
      <c r="S41" s="243" t="str">
        <f t="shared" si="1"/>
        <v>-</v>
      </c>
      <c r="T41" s="61"/>
      <c r="U41" s="61"/>
      <c r="V41" s="61"/>
      <c r="W41" s="61"/>
      <c r="X41" s="61"/>
    </row>
    <row r="42" spans="1:24" s="62" customFormat="1" ht="24.95" customHeight="1">
      <c r="A42" s="111">
        <v>36</v>
      </c>
      <c r="B42" s="111"/>
      <c r="C42" s="111"/>
      <c r="D42" s="111"/>
      <c r="E42" s="130"/>
      <c r="F42" s="112"/>
      <c r="G42" s="112"/>
      <c r="H42" s="112"/>
      <c r="I42" s="112"/>
      <c r="J42" s="112"/>
      <c r="K42" s="112"/>
      <c r="L42" s="112"/>
      <c r="M42" s="114"/>
      <c r="N42" s="114"/>
      <c r="O42" s="114"/>
      <c r="P42" s="115"/>
      <c r="Q42" s="60"/>
      <c r="R42" s="242" t="str">
        <f t="shared" si="0"/>
        <v/>
      </c>
      <c r="S42" s="243" t="str">
        <f t="shared" si="1"/>
        <v>-</v>
      </c>
      <c r="T42" s="61"/>
      <c r="U42" s="61"/>
      <c r="V42" s="61"/>
      <c r="W42" s="61"/>
      <c r="X42" s="61"/>
    </row>
    <row r="43" spans="1:24" s="62" customFormat="1" ht="24.95" customHeight="1">
      <c r="A43" s="111">
        <v>37</v>
      </c>
      <c r="B43" s="111"/>
      <c r="C43" s="111"/>
      <c r="D43" s="111"/>
      <c r="E43" s="130"/>
      <c r="F43" s="112"/>
      <c r="G43" s="112"/>
      <c r="H43" s="112"/>
      <c r="I43" s="112"/>
      <c r="J43" s="112"/>
      <c r="K43" s="112"/>
      <c r="L43" s="112"/>
      <c r="M43" s="114"/>
      <c r="N43" s="114"/>
      <c r="O43" s="114"/>
      <c r="P43" s="115"/>
      <c r="Q43" s="60"/>
      <c r="R43" s="242" t="str">
        <f t="shared" si="0"/>
        <v/>
      </c>
      <c r="S43" s="243" t="str">
        <f t="shared" si="1"/>
        <v>-</v>
      </c>
      <c r="T43" s="61"/>
      <c r="U43" s="61"/>
      <c r="V43" s="61"/>
      <c r="W43" s="61"/>
      <c r="X43" s="61"/>
    </row>
    <row r="44" spans="1:24" s="62" customFormat="1" ht="24.95" customHeight="1">
      <c r="A44" s="111">
        <v>38</v>
      </c>
      <c r="B44" s="111"/>
      <c r="C44" s="111"/>
      <c r="D44" s="111"/>
      <c r="E44" s="130"/>
      <c r="F44" s="112"/>
      <c r="G44" s="112"/>
      <c r="H44" s="112"/>
      <c r="I44" s="112"/>
      <c r="J44" s="112"/>
      <c r="K44" s="112"/>
      <c r="L44" s="112"/>
      <c r="M44" s="114"/>
      <c r="N44" s="114"/>
      <c r="O44" s="114"/>
      <c r="P44" s="115"/>
      <c r="Q44" s="60"/>
      <c r="R44" s="242" t="str">
        <f t="shared" si="0"/>
        <v/>
      </c>
      <c r="S44" s="243" t="str">
        <f t="shared" si="1"/>
        <v>-</v>
      </c>
      <c r="T44" s="61"/>
      <c r="U44" s="61"/>
      <c r="V44" s="61"/>
      <c r="W44" s="61"/>
      <c r="X44" s="61"/>
    </row>
    <row r="45" spans="1:24" s="62" customFormat="1" ht="24.95" customHeight="1">
      <c r="A45" s="111">
        <v>39</v>
      </c>
      <c r="B45" s="111"/>
      <c r="C45" s="111"/>
      <c r="D45" s="111"/>
      <c r="E45" s="130"/>
      <c r="F45" s="112"/>
      <c r="G45" s="112"/>
      <c r="H45" s="112"/>
      <c r="I45" s="112"/>
      <c r="J45" s="112"/>
      <c r="K45" s="112"/>
      <c r="L45" s="112"/>
      <c r="M45" s="114"/>
      <c r="N45" s="114"/>
      <c r="O45" s="114"/>
      <c r="P45" s="115"/>
      <c r="Q45" s="60"/>
      <c r="R45" s="242" t="str">
        <f t="shared" si="0"/>
        <v/>
      </c>
      <c r="S45" s="243" t="str">
        <f t="shared" si="1"/>
        <v>-</v>
      </c>
      <c r="T45" s="61"/>
      <c r="U45" s="61"/>
      <c r="V45" s="61"/>
      <c r="W45" s="61"/>
      <c r="X45" s="61"/>
    </row>
    <row r="46" spans="1:24" s="140" customFormat="1" ht="24.95" customHeight="1">
      <c r="A46" s="111">
        <v>40</v>
      </c>
      <c r="B46" s="111"/>
      <c r="C46" s="111"/>
      <c r="D46" s="111"/>
      <c r="E46" s="122"/>
      <c r="F46" s="112"/>
      <c r="G46" s="112"/>
      <c r="H46" s="112"/>
      <c r="I46" s="112"/>
      <c r="J46" s="112"/>
      <c r="K46" s="112"/>
      <c r="L46" s="112"/>
      <c r="M46" s="114"/>
      <c r="N46" s="114"/>
      <c r="O46" s="114"/>
      <c r="P46" s="115"/>
      <c r="Q46" s="138"/>
      <c r="R46" s="242" t="str">
        <f t="shared" si="0"/>
        <v/>
      </c>
      <c r="S46" s="243" t="str">
        <f t="shared" si="1"/>
        <v>-</v>
      </c>
      <c r="T46" s="139"/>
      <c r="U46" s="61"/>
      <c r="V46" s="61"/>
      <c r="W46" s="61"/>
      <c r="X46" s="139"/>
    </row>
    <row r="47" spans="1:24" s="62" customFormat="1" ht="24.95" customHeight="1">
      <c r="A47" s="111">
        <v>41</v>
      </c>
      <c r="B47" s="111"/>
      <c r="C47" s="111"/>
      <c r="D47" s="111"/>
      <c r="E47" s="122"/>
      <c r="F47" s="112"/>
      <c r="G47" s="112"/>
      <c r="H47" s="112"/>
      <c r="I47" s="112"/>
      <c r="J47" s="112"/>
      <c r="K47" s="112"/>
      <c r="L47" s="112"/>
      <c r="M47" s="114"/>
      <c r="N47" s="114"/>
      <c r="O47" s="114"/>
      <c r="P47" s="115"/>
      <c r="Q47" s="60"/>
      <c r="R47" s="242" t="str">
        <f t="shared" si="0"/>
        <v/>
      </c>
      <c r="S47" s="243" t="str">
        <f t="shared" si="1"/>
        <v>-</v>
      </c>
      <c r="T47" s="61"/>
      <c r="U47" s="61"/>
      <c r="V47" s="61"/>
      <c r="W47" s="61"/>
      <c r="X47" s="61"/>
    </row>
    <row r="48" spans="1:24" s="62" customFormat="1" ht="24.95" customHeight="1">
      <c r="A48" s="111">
        <v>42</v>
      </c>
      <c r="B48" s="111"/>
      <c r="C48" s="111"/>
      <c r="D48" s="111"/>
      <c r="E48" s="130"/>
      <c r="F48" s="112"/>
      <c r="G48" s="112"/>
      <c r="H48" s="112"/>
      <c r="I48" s="112"/>
      <c r="J48" s="112"/>
      <c r="K48" s="112"/>
      <c r="L48" s="112"/>
      <c r="M48" s="114"/>
      <c r="N48" s="114"/>
      <c r="O48" s="114"/>
      <c r="P48" s="115"/>
      <c r="Q48" s="60"/>
      <c r="R48" s="242" t="str">
        <f t="shared" si="0"/>
        <v/>
      </c>
      <c r="S48" s="243" t="str">
        <f t="shared" si="1"/>
        <v>-</v>
      </c>
      <c r="T48" s="61"/>
      <c r="U48" s="61"/>
      <c r="V48" s="61"/>
      <c r="W48" s="61"/>
      <c r="X48" s="61"/>
    </row>
    <row r="49" spans="1:80" s="62" customFormat="1" ht="24.95" customHeight="1">
      <c r="A49" s="111">
        <v>43</v>
      </c>
      <c r="B49" s="111"/>
      <c r="C49" s="111"/>
      <c r="D49" s="111"/>
      <c r="E49" s="130"/>
      <c r="F49" s="112"/>
      <c r="G49" s="112"/>
      <c r="H49" s="112"/>
      <c r="I49" s="112"/>
      <c r="J49" s="112"/>
      <c r="K49" s="112"/>
      <c r="L49" s="112"/>
      <c r="M49" s="114"/>
      <c r="N49" s="114"/>
      <c r="O49" s="114"/>
      <c r="P49" s="115"/>
      <c r="Q49" s="60"/>
      <c r="R49" s="242" t="str">
        <f t="shared" si="0"/>
        <v/>
      </c>
      <c r="S49" s="243" t="str">
        <f t="shared" si="1"/>
        <v>-</v>
      </c>
      <c r="T49" s="61"/>
      <c r="U49" s="61"/>
      <c r="V49" s="61"/>
      <c r="W49" s="61"/>
      <c r="X49" s="61"/>
    </row>
    <row r="50" spans="1:80" s="62" customFormat="1" ht="24.95" customHeight="1">
      <c r="A50" s="111">
        <v>44</v>
      </c>
      <c r="B50" s="111"/>
      <c r="C50" s="111"/>
      <c r="D50" s="111"/>
      <c r="E50" s="130"/>
      <c r="F50" s="112"/>
      <c r="G50" s="112"/>
      <c r="H50" s="112"/>
      <c r="I50" s="112"/>
      <c r="J50" s="112"/>
      <c r="K50" s="112"/>
      <c r="L50" s="112"/>
      <c r="M50" s="114"/>
      <c r="N50" s="114"/>
      <c r="O50" s="114"/>
      <c r="P50" s="115"/>
      <c r="Q50" s="60"/>
      <c r="R50" s="242" t="str">
        <f t="shared" si="0"/>
        <v/>
      </c>
      <c r="S50" s="243" t="str">
        <f t="shared" si="1"/>
        <v>-</v>
      </c>
      <c r="T50" s="61"/>
      <c r="U50" s="61"/>
      <c r="V50" s="61"/>
      <c r="W50" s="61"/>
      <c r="X50" s="61"/>
    </row>
    <row r="51" spans="1:80" s="62" customFormat="1" ht="24.95" customHeight="1">
      <c r="A51" s="111">
        <v>45</v>
      </c>
      <c r="B51" s="111"/>
      <c r="C51" s="111"/>
      <c r="D51" s="111"/>
      <c r="E51" s="130"/>
      <c r="F51" s="112"/>
      <c r="G51" s="112"/>
      <c r="H51" s="112"/>
      <c r="I51" s="112"/>
      <c r="J51" s="112"/>
      <c r="K51" s="112"/>
      <c r="L51" s="112"/>
      <c r="M51" s="114"/>
      <c r="N51" s="114"/>
      <c r="O51" s="114"/>
      <c r="P51" s="115"/>
      <c r="Q51" s="60"/>
      <c r="R51" s="242" t="str">
        <f t="shared" si="0"/>
        <v/>
      </c>
      <c r="S51" s="243" t="str">
        <f t="shared" si="1"/>
        <v>-</v>
      </c>
      <c r="T51" s="61"/>
      <c r="U51" s="61"/>
      <c r="V51" s="61"/>
      <c r="W51" s="61"/>
      <c r="X51" s="61"/>
    </row>
    <row r="52" spans="1:80" s="62" customFormat="1" ht="24.95" customHeight="1">
      <c r="A52" s="111">
        <v>46</v>
      </c>
      <c r="B52" s="111"/>
      <c r="C52" s="111"/>
      <c r="D52" s="111"/>
      <c r="E52" s="130"/>
      <c r="F52" s="112"/>
      <c r="G52" s="112"/>
      <c r="H52" s="112"/>
      <c r="I52" s="112"/>
      <c r="J52" s="112"/>
      <c r="K52" s="112"/>
      <c r="L52" s="112"/>
      <c r="M52" s="114"/>
      <c r="N52" s="114"/>
      <c r="O52" s="114"/>
      <c r="P52" s="115"/>
      <c r="Q52" s="60"/>
      <c r="R52" s="242" t="str">
        <f t="shared" si="0"/>
        <v/>
      </c>
      <c r="S52" s="243" t="str">
        <f t="shared" si="1"/>
        <v>-</v>
      </c>
      <c r="T52" s="61"/>
      <c r="U52" s="61"/>
      <c r="V52" s="61"/>
      <c r="W52" s="61"/>
      <c r="X52" s="61"/>
    </row>
    <row r="53" spans="1:80" s="62" customFormat="1" ht="24.95" customHeight="1">
      <c r="A53" s="111">
        <v>47</v>
      </c>
      <c r="B53" s="111"/>
      <c r="C53" s="111"/>
      <c r="D53" s="111"/>
      <c r="E53" s="130"/>
      <c r="F53" s="112"/>
      <c r="G53" s="112"/>
      <c r="H53" s="112"/>
      <c r="I53" s="112"/>
      <c r="J53" s="112"/>
      <c r="K53" s="112"/>
      <c r="L53" s="112"/>
      <c r="M53" s="114"/>
      <c r="N53" s="114"/>
      <c r="O53" s="114"/>
      <c r="P53" s="115"/>
      <c r="Q53" s="60"/>
      <c r="R53" s="242" t="str">
        <f t="shared" si="0"/>
        <v/>
      </c>
      <c r="S53" s="243" t="str">
        <f t="shared" si="1"/>
        <v>-</v>
      </c>
      <c r="T53" s="61"/>
      <c r="U53" s="61"/>
      <c r="V53" s="61"/>
      <c r="W53" s="61"/>
      <c r="X53" s="61"/>
    </row>
    <row r="54" spans="1:80" s="62" customFormat="1" ht="24.95" customHeight="1">
      <c r="A54" s="111">
        <v>48</v>
      </c>
      <c r="B54" s="111"/>
      <c r="C54" s="111"/>
      <c r="D54" s="111"/>
      <c r="E54" s="130"/>
      <c r="F54" s="112"/>
      <c r="G54" s="112"/>
      <c r="H54" s="112"/>
      <c r="I54" s="112"/>
      <c r="J54" s="112"/>
      <c r="K54" s="112"/>
      <c r="L54" s="112"/>
      <c r="M54" s="114"/>
      <c r="N54" s="114"/>
      <c r="O54" s="114"/>
      <c r="P54" s="115"/>
      <c r="Q54" s="60"/>
      <c r="R54" s="242" t="str">
        <f t="shared" si="0"/>
        <v/>
      </c>
      <c r="S54" s="243" t="str">
        <f t="shared" si="1"/>
        <v>-</v>
      </c>
      <c r="T54" s="61"/>
      <c r="U54" s="61"/>
      <c r="V54" s="61"/>
      <c r="W54" s="61"/>
      <c r="X54" s="61"/>
    </row>
    <row r="55" spans="1:80" s="62" customFormat="1" ht="24.95" customHeight="1">
      <c r="A55" s="111"/>
      <c r="B55" s="111"/>
      <c r="C55" s="111"/>
      <c r="D55" s="111"/>
      <c r="E55" s="130"/>
      <c r="F55" s="112"/>
      <c r="G55" s="112"/>
      <c r="H55" s="112"/>
      <c r="I55" s="112"/>
      <c r="J55" s="112"/>
      <c r="K55" s="112"/>
      <c r="L55" s="112"/>
      <c r="M55" s="114"/>
      <c r="N55" s="114"/>
      <c r="O55" s="114"/>
      <c r="P55" s="115"/>
      <c r="Q55" s="60"/>
      <c r="R55" s="242" t="str">
        <f t="shared" si="0"/>
        <v/>
      </c>
      <c r="S55" s="243" t="str">
        <f t="shared" si="1"/>
        <v>-</v>
      </c>
      <c r="T55" s="61"/>
      <c r="U55" s="61"/>
      <c r="V55" s="61"/>
      <c r="W55" s="61"/>
      <c r="X55" s="61"/>
    </row>
    <row r="56" spans="1:80" s="62" customFormat="1" ht="24.95" customHeight="1">
      <c r="A56" s="111"/>
      <c r="B56" s="111"/>
      <c r="C56" s="111"/>
      <c r="D56" s="111"/>
      <c r="E56" s="111"/>
      <c r="F56" s="112"/>
      <c r="G56" s="112"/>
      <c r="H56" s="112"/>
      <c r="I56" s="112"/>
      <c r="J56" s="112"/>
      <c r="K56" s="112"/>
      <c r="L56" s="112"/>
      <c r="M56" s="114"/>
      <c r="N56" s="114"/>
      <c r="O56" s="114"/>
      <c r="P56" s="115"/>
      <c r="Q56" s="60"/>
      <c r="R56" s="242" t="str">
        <f t="shared" si="0"/>
        <v/>
      </c>
      <c r="S56" s="243" t="str">
        <f t="shared" si="1"/>
        <v>-</v>
      </c>
      <c r="T56" s="61"/>
      <c r="U56" s="61"/>
      <c r="V56" s="61"/>
      <c r="W56" s="61"/>
      <c r="X56" s="61"/>
    </row>
    <row r="57" spans="1:80" s="73" customFormat="1" ht="24.95" customHeight="1">
      <c r="A57" s="117" t="s">
        <v>41</v>
      </c>
      <c r="B57" s="117"/>
      <c r="C57" s="117"/>
      <c r="D57" s="117"/>
      <c r="E57" s="117"/>
      <c r="F57" s="118"/>
      <c r="G57" s="119"/>
      <c r="H57" s="119"/>
      <c r="I57" s="119">
        <f>SUM(I32:I56)</f>
        <v>0</v>
      </c>
      <c r="J57" s="120"/>
      <c r="K57" s="120"/>
      <c r="L57" s="120"/>
      <c r="M57" s="120"/>
      <c r="N57" s="120"/>
      <c r="O57" s="120"/>
      <c r="P57" s="121"/>
      <c r="Q57" s="60"/>
      <c r="R57" s="242" t="str">
        <f t="shared" si="0"/>
        <v/>
      </c>
      <c r="S57" s="243" t="str">
        <f t="shared" si="1"/>
        <v>-</v>
      </c>
      <c r="T57" s="61"/>
      <c r="U57" s="61"/>
      <c r="V57" s="61"/>
      <c r="W57" s="61"/>
      <c r="X57" s="61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</row>
    <row r="58" spans="1:80" s="62" customFormat="1" ht="24.95" customHeight="1">
      <c r="A58" s="58"/>
      <c r="B58" s="161"/>
      <c r="C58" s="161"/>
      <c r="D58" s="161"/>
      <c r="E58" s="82"/>
      <c r="F58" s="59"/>
      <c r="G58" s="59"/>
      <c r="H58" s="59"/>
      <c r="I58" s="59"/>
      <c r="J58" s="59"/>
      <c r="K58" s="59"/>
      <c r="L58" s="59"/>
      <c r="M58" s="43"/>
      <c r="N58" s="43"/>
      <c r="O58" s="43"/>
      <c r="P58" s="16"/>
      <c r="Q58" s="60"/>
      <c r="R58" s="242" t="str">
        <f t="shared" si="0"/>
        <v/>
      </c>
      <c r="S58" s="243" t="str">
        <f t="shared" si="1"/>
        <v>-</v>
      </c>
      <c r="T58" s="61"/>
      <c r="U58" s="61"/>
      <c r="V58" s="61"/>
      <c r="W58" s="61"/>
      <c r="X58" s="61"/>
    </row>
    <row r="59" spans="1:80" s="62" customFormat="1" ht="24.95" customHeight="1">
      <c r="A59" s="92"/>
      <c r="B59" s="162"/>
      <c r="C59" s="162"/>
      <c r="D59" s="162"/>
      <c r="E59" s="96"/>
      <c r="F59" s="93"/>
      <c r="G59" s="93"/>
      <c r="H59" s="93"/>
      <c r="I59" s="93"/>
      <c r="J59" s="93"/>
      <c r="K59" s="93"/>
      <c r="L59" s="93"/>
      <c r="M59" s="94"/>
      <c r="N59" s="94"/>
      <c r="O59" s="94"/>
      <c r="P59" s="95"/>
      <c r="Q59" s="60"/>
      <c r="R59" s="242" t="str">
        <f t="shared" si="0"/>
        <v/>
      </c>
      <c r="S59" s="243" t="str">
        <f t="shared" si="1"/>
        <v>-</v>
      </c>
      <c r="T59" s="61"/>
      <c r="U59" s="61"/>
      <c r="V59" s="61"/>
      <c r="W59" s="61"/>
      <c r="X59" s="61"/>
    </row>
    <row r="60" spans="1:80" s="62" customFormat="1" ht="24.95" customHeight="1">
      <c r="A60" s="63"/>
      <c r="B60" s="163"/>
      <c r="C60" s="163"/>
      <c r="D60" s="163"/>
      <c r="E60" s="83"/>
      <c r="F60" s="65"/>
      <c r="G60" s="65"/>
      <c r="H60" s="65"/>
      <c r="I60" s="65"/>
      <c r="J60" s="65"/>
      <c r="K60" s="65"/>
      <c r="L60" s="65"/>
      <c r="M60" s="44"/>
      <c r="N60" s="44"/>
      <c r="O60" s="44"/>
      <c r="P60" s="17"/>
      <c r="Q60" s="60"/>
      <c r="R60" s="242" t="str">
        <f t="shared" si="0"/>
        <v/>
      </c>
      <c r="S60" s="243" t="str">
        <f t="shared" si="1"/>
        <v>-</v>
      </c>
      <c r="T60" s="61"/>
      <c r="U60" s="61"/>
      <c r="V60" s="61"/>
      <c r="W60" s="61"/>
      <c r="X60" s="61"/>
    </row>
    <row r="61" spans="1:80" s="62" customFormat="1" ht="24.95" customHeight="1">
      <c r="A61" s="63"/>
      <c r="B61" s="163"/>
      <c r="C61" s="163"/>
      <c r="D61" s="163"/>
      <c r="E61" s="84"/>
      <c r="F61" s="65"/>
      <c r="G61" s="65"/>
      <c r="H61" s="65"/>
      <c r="I61" s="65"/>
      <c r="J61" s="65"/>
      <c r="K61" s="65"/>
      <c r="L61" s="65"/>
      <c r="M61" s="44"/>
      <c r="N61" s="44"/>
      <c r="O61" s="44"/>
      <c r="P61" s="17"/>
      <c r="Q61" s="60"/>
      <c r="R61" s="242" t="str">
        <f t="shared" si="0"/>
        <v/>
      </c>
      <c r="S61" s="243" t="str">
        <f t="shared" si="1"/>
        <v>-</v>
      </c>
      <c r="T61" s="61"/>
      <c r="U61" s="61"/>
      <c r="V61" s="61"/>
      <c r="W61" s="61"/>
      <c r="X61" s="61"/>
    </row>
    <row r="62" spans="1:80" s="62" customFormat="1" ht="24.95" customHeight="1">
      <c r="A62" s="63"/>
      <c r="B62" s="163"/>
      <c r="C62" s="163"/>
      <c r="D62" s="163"/>
      <c r="E62" s="89"/>
      <c r="F62" s="65"/>
      <c r="G62" s="65"/>
      <c r="H62" s="65"/>
      <c r="I62" s="65"/>
      <c r="J62" s="65"/>
      <c r="K62" s="65"/>
      <c r="L62" s="65"/>
      <c r="M62" s="44"/>
      <c r="N62" s="44"/>
      <c r="O62" s="44"/>
      <c r="P62" s="17"/>
      <c r="Q62" s="60"/>
      <c r="R62" s="242" t="str">
        <f t="shared" si="0"/>
        <v/>
      </c>
      <c r="S62" s="243" t="str">
        <f t="shared" si="1"/>
        <v>-</v>
      </c>
      <c r="T62" s="61"/>
      <c r="U62" s="61"/>
      <c r="V62" s="61"/>
      <c r="W62" s="61"/>
      <c r="X62" s="61"/>
    </row>
    <row r="63" spans="1:80" s="62" customFormat="1" ht="24.95" customHeight="1">
      <c r="A63" s="63"/>
      <c r="B63" s="163"/>
      <c r="C63" s="163"/>
      <c r="D63" s="163"/>
      <c r="E63" s="89"/>
      <c r="F63" s="65"/>
      <c r="G63" s="65"/>
      <c r="H63" s="65"/>
      <c r="I63" s="65"/>
      <c r="J63" s="65"/>
      <c r="K63" s="65"/>
      <c r="L63" s="65"/>
      <c r="M63" s="44"/>
      <c r="N63" s="44"/>
      <c r="O63" s="44"/>
      <c r="P63" s="17"/>
      <c r="Q63" s="60"/>
      <c r="R63" s="242" t="str">
        <f t="shared" si="0"/>
        <v/>
      </c>
      <c r="S63" s="243" t="str">
        <f t="shared" si="1"/>
        <v>-</v>
      </c>
      <c r="T63" s="61"/>
      <c r="U63" s="61"/>
      <c r="V63" s="61"/>
      <c r="W63" s="61"/>
      <c r="X63" s="61"/>
    </row>
    <row r="64" spans="1:80" s="62" customFormat="1" ht="24.95" customHeight="1">
      <c r="A64" s="63"/>
      <c r="B64" s="163"/>
      <c r="C64" s="163"/>
      <c r="D64" s="163"/>
      <c r="E64" s="89"/>
      <c r="F64" s="65"/>
      <c r="G64" s="65"/>
      <c r="H64" s="65"/>
      <c r="I64" s="65"/>
      <c r="J64" s="65"/>
      <c r="K64" s="65"/>
      <c r="L64" s="65"/>
      <c r="M64" s="44"/>
      <c r="N64" s="44"/>
      <c r="O64" s="44"/>
      <c r="P64" s="17"/>
      <c r="Q64" s="60"/>
      <c r="R64" s="242" t="str">
        <f t="shared" si="0"/>
        <v/>
      </c>
      <c r="S64" s="243" t="str">
        <f t="shared" si="1"/>
        <v>-</v>
      </c>
      <c r="T64" s="61"/>
      <c r="U64" s="61"/>
      <c r="V64" s="61"/>
      <c r="W64" s="61"/>
      <c r="X64" s="61"/>
    </row>
    <row r="65" spans="1:80" s="62" customFormat="1" ht="24.95" customHeight="1">
      <c r="A65" s="63"/>
      <c r="B65" s="163"/>
      <c r="C65" s="163"/>
      <c r="D65" s="163"/>
      <c r="E65" s="89"/>
      <c r="F65" s="65"/>
      <c r="G65" s="65"/>
      <c r="H65" s="65"/>
      <c r="I65" s="65"/>
      <c r="J65" s="65"/>
      <c r="K65" s="65"/>
      <c r="L65" s="65"/>
      <c r="M65" s="44"/>
      <c r="N65" s="44"/>
      <c r="O65" s="44"/>
      <c r="P65" s="17"/>
      <c r="Q65" s="60"/>
      <c r="R65" s="242" t="str">
        <f t="shared" si="0"/>
        <v/>
      </c>
      <c r="S65" s="243" t="str">
        <f t="shared" si="1"/>
        <v>-</v>
      </c>
      <c r="T65" s="61"/>
      <c r="U65" s="61"/>
      <c r="V65" s="61"/>
      <c r="W65" s="61"/>
      <c r="X65" s="61"/>
    </row>
    <row r="66" spans="1:80" s="62" customFormat="1" ht="24.95" customHeight="1">
      <c r="A66" s="63"/>
      <c r="B66" s="163"/>
      <c r="C66" s="163"/>
      <c r="D66" s="163"/>
      <c r="E66" s="89"/>
      <c r="F66" s="65"/>
      <c r="G66" s="65"/>
      <c r="H66" s="65"/>
      <c r="I66" s="65"/>
      <c r="J66" s="65"/>
      <c r="K66" s="65"/>
      <c r="L66" s="65"/>
      <c r="M66" s="44"/>
      <c r="N66" s="44"/>
      <c r="O66" s="44"/>
      <c r="P66" s="17"/>
      <c r="Q66" s="60"/>
      <c r="R66" s="242" t="str">
        <f t="shared" si="0"/>
        <v/>
      </c>
      <c r="S66" s="243" t="str">
        <f t="shared" si="1"/>
        <v>-</v>
      </c>
      <c r="T66" s="61"/>
      <c r="U66" s="61"/>
      <c r="V66" s="61"/>
      <c r="W66" s="61"/>
      <c r="X66" s="61"/>
    </row>
    <row r="67" spans="1:80" s="62" customFormat="1" ht="24.95" customHeight="1">
      <c r="A67" s="63"/>
      <c r="B67" s="163"/>
      <c r="C67" s="163"/>
      <c r="D67" s="163"/>
      <c r="E67" s="89"/>
      <c r="F67" s="65"/>
      <c r="G67" s="65"/>
      <c r="H67" s="65"/>
      <c r="I67" s="65"/>
      <c r="J67" s="65"/>
      <c r="K67" s="65"/>
      <c r="L67" s="65"/>
      <c r="M67" s="44"/>
      <c r="N67" s="44"/>
      <c r="O67" s="44"/>
      <c r="P67" s="17"/>
      <c r="Q67" s="60"/>
      <c r="R67" s="242" t="str">
        <f t="shared" si="0"/>
        <v/>
      </c>
      <c r="S67" s="243" t="str">
        <f t="shared" si="1"/>
        <v>-</v>
      </c>
      <c r="T67" s="61"/>
      <c r="U67" s="61"/>
      <c r="V67" s="61"/>
      <c r="W67" s="61"/>
      <c r="X67" s="61"/>
    </row>
    <row r="68" spans="1:80" s="62" customFormat="1" ht="24.95" customHeight="1">
      <c r="A68" s="63"/>
      <c r="B68" s="163"/>
      <c r="C68" s="163"/>
      <c r="D68" s="163"/>
      <c r="E68" s="89"/>
      <c r="F68" s="65"/>
      <c r="G68" s="65"/>
      <c r="H68" s="65"/>
      <c r="I68" s="65"/>
      <c r="J68" s="65"/>
      <c r="K68" s="65"/>
      <c r="L68" s="65"/>
      <c r="M68" s="44"/>
      <c r="N68" s="44"/>
      <c r="O68" s="44"/>
      <c r="P68" s="17"/>
      <c r="Q68" s="60"/>
      <c r="R68" s="242" t="str">
        <f t="shared" si="0"/>
        <v/>
      </c>
      <c r="S68" s="243" t="str">
        <f t="shared" si="1"/>
        <v>-</v>
      </c>
      <c r="T68" s="61"/>
      <c r="U68" s="61"/>
      <c r="V68" s="61"/>
      <c r="W68" s="61"/>
      <c r="X68" s="61"/>
    </row>
    <row r="69" spans="1:80" s="62" customFormat="1" ht="24.95" customHeight="1">
      <c r="A69" s="63"/>
      <c r="B69" s="163"/>
      <c r="C69" s="163"/>
      <c r="D69" s="163"/>
      <c r="E69" s="64"/>
      <c r="F69" s="65"/>
      <c r="G69" s="65"/>
      <c r="H69" s="65"/>
      <c r="I69" s="65"/>
      <c r="J69" s="65"/>
      <c r="K69" s="65"/>
      <c r="L69" s="65"/>
      <c r="M69" s="44"/>
      <c r="N69" s="44"/>
      <c r="O69" s="44"/>
      <c r="P69" s="17"/>
      <c r="Q69" s="60"/>
      <c r="R69" s="242" t="str">
        <f t="shared" si="0"/>
        <v/>
      </c>
      <c r="S69" s="243" t="str">
        <f t="shared" si="1"/>
        <v>-</v>
      </c>
      <c r="T69" s="61"/>
      <c r="U69" s="61"/>
      <c r="V69" s="61"/>
      <c r="W69" s="61"/>
      <c r="X69" s="61"/>
    </row>
    <row r="70" spans="1:80" s="62" customFormat="1" ht="24.95" customHeight="1">
      <c r="A70" s="63"/>
      <c r="B70" s="163"/>
      <c r="C70" s="163"/>
      <c r="D70" s="163"/>
      <c r="E70" s="64"/>
      <c r="F70" s="65"/>
      <c r="G70" s="65"/>
      <c r="H70" s="65"/>
      <c r="I70" s="65"/>
      <c r="J70" s="65"/>
      <c r="K70" s="65"/>
      <c r="L70" s="65"/>
      <c r="M70" s="44"/>
      <c r="N70" s="44"/>
      <c r="O70" s="44"/>
      <c r="P70" s="17"/>
      <c r="Q70" s="60"/>
      <c r="R70" s="242" t="str">
        <f t="shared" si="0"/>
        <v/>
      </c>
      <c r="S70" s="243" t="str">
        <f t="shared" si="1"/>
        <v>-</v>
      </c>
      <c r="T70" s="61"/>
      <c r="U70" s="61"/>
      <c r="V70" s="61"/>
      <c r="W70" s="61"/>
      <c r="X70" s="61"/>
    </row>
    <row r="71" spans="1:80" s="62" customFormat="1" ht="24.95" customHeight="1">
      <c r="A71" s="63"/>
      <c r="B71" s="163"/>
      <c r="C71" s="163"/>
      <c r="D71" s="163"/>
      <c r="E71" s="64"/>
      <c r="F71" s="65"/>
      <c r="G71" s="65"/>
      <c r="H71" s="65"/>
      <c r="I71" s="65"/>
      <c r="J71" s="65"/>
      <c r="K71" s="65"/>
      <c r="L71" s="65"/>
      <c r="M71" s="44"/>
      <c r="N71" s="44"/>
      <c r="O71" s="44"/>
      <c r="P71" s="17"/>
      <c r="Q71" s="60"/>
      <c r="R71" s="242" t="str">
        <f t="shared" ref="R71:R134" si="3">CONCATENATE(F71,J71)</f>
        <v/>
      </c>
      <c r="S71" s="243" t="str">
        <f t="shared" ref="S71:S134" si="4">IF(G71&gt;=I71,"-","err")</f>
        <v>-</v>
      </c>
      <c r="T71" s="61"/>
      <c r="U71" s="61"/>
      <c r="V71" s="61"/>
      <c r="W71" s="61"/>
      <c r="X71" s="61"/>
    </row>
    <row r="72" spans="1:80" s="62" customFormat="1" ht="24.95" customHeight="1">
      <c r="A72" s="63"/>
      <c r="B72" s="163"/>
      <c r="C72" s="163"/>
      <c r="D72" s="163"/>
      <c r="E72" s="64"/>
      <c r="F72" s="65"/>
      <c r="G72" s="65"/>
      <c r="H72" s="65"/>
      <c r="I72" s="65"/>
      <c r="J72" s="65"/>
      <c r="K72" s="65"/>
      <c r="L72" s="65"/>
      <c r="M72" s="44"/>
      <c r="N72" s="44"/>
      <c r="O72" s="44"/>
      <c r="P72" s="17"/>
      <c r="Q72" s="60"/>
      <c r="R72" s="242" t="str">
        <f t="shared" si="3"/>
        <v/>
      </c>
      <c r="S72" s="243" t="str">
        <f t="shared" si="4"/>
        <v>-</v>
      </c>
      <c r="T72" s="61"/>
      <c r="U72" s="61"/>
      <c r="V72" s="61"/>
      <c r="W72" s="61"/>
      <c r="X72" s="61"/>
    </row>
    <row r="73" spans="1:80" s="62" customFormat="1" ht="24.95" customHeight="1">
      <c r="A73" s="63"/>
      <c r="B73" s="163"/>
      <c r="C73" s="163"/>
      <c r="D73" s="163"/>
      <c r="E73" s="64"/>
      <c r="F73" s="65"/>
      <c r="G73" s="65"/>
      <c r="H73" s="65"/>
      <c r="I73" s="65"/>
      <c r="J73" s="65"/>
      <c r="K73" s="65"/>
      <c r="L73" s="65"/>
      <c r="M73" s="44"/>
      <c r="N73" s="44"/>
      <c r="O73" s="44"/>
      <c r="P73" s="17"/>
      <c r="Q73" s="60"/>
      <c r="R73" s="242" t="str">
        <f t="shared" si="3"/>
        <v/>
      </c>
      <c r="S73" s="243" t="str">
        <f t="shared" si="4"/>
        <v>-</v>
      </c>
      <c r="T73" s="61"/>
      <c r="U73" s="61"/>
      <c r="V73" s="61"/>
      <c r="W73" s="61"/>
      <c r="X73" s="61"/>
    </row>
    <row r="74" spans="1:80" s="62" customFormat="1" ht="24.95" customHeight="1">
      <c r="A74" s="63"/>
      <c r="B74" s="163"/>
      <c r="C74" s="163"/>
      <c r="D74" s="163"/>
      <c r="E74" s="64"/>
      <c r="F74" s="65"/>
      <c r="G74" s="65"/>
      <c r="H74" s="65"/>
      <c r="I74" s="65"/>
      <c r="J74" s="65"/>
      <c r="K74" s="65"/>
      <c r="L74" s="65"/>
      <c r="M74" s="44"/>
      <c r="N74" s="44"/>
      <c r="O74" s="44"/>
      <c r="P74" s="17"/>
      <c r="Q74" s="60"/>
      <c r="R74" s="242" t="str">
        <f t="shared" si="3"/>
        <v/>
      </c>
      <c r="S74" s="243" t="str">
        <f t="shared" si="4"/>
        <v>-</v>
      </c>
      <c r="T74" s="61"/>
      <c r="U74" s="61"/>
      <c r="V74" s="61"/>
      <c r="W74" s="61"/>
      <c r="X74" s="61"/>
    </row>
    <row r="75" spans="1:80" s="62" customFormat="1" ht="24.95" customHeight="1">
      <c r="A75" s="63"/>
      <c r="B75" s="163"/>
      <c r="C75" s="163"/>
      <c r="D75" s="163"/>
      <c r="E75" s="64"/>
      <c r="F75" s="65"/>
      <c r="G75" s="65"/>
      <c r="H75" s="65"/>
      <c r="I75" s="65"/>
      <c r="J75" s="65"/>
      <c r="K75" s="65"/>
      <c r="L75" s="65"/>
      <c r="M75" s="44"/>
      <c r="N75" s="44"/>
      <c r="O75" s="44"/>
      <c r="P75" s="17"/>
      <c r="Q75" s="60"/>
      <c r="R75" s="242" t="str">
        <f t="shared" si="3"/>
        <v/>
      </c>
      <c r="S75" s="243" t="str">
        <f t="shared" si="4"/>
        <v>-</v>
      </c>
      <c r="T75" s="61"/>
      <c r="U75" s="61"/>
      <c r="V75" s="61"/>
      <c r="W75" s="61"/>
      <c r="X75" s="61"/>
    </row>
    <row r="76" spans="1:80" s="62" customFormat="1" ht="24.95" customHeight="1">
      <c r="A76" s="63"/>
      <c r="B76" s="163"/>
      <c r="C76" s="163"/>
      <c r="D76" s="163"/>
      <c r="E76" s="64"/>
      <c r="F76" s="65"/>
      <c r="G76" s="65"/>
      <c r="H76" s="65"/>
      <c r="I76" s="65"/>
      <c r="J76" s="65"/>
      <c r="K76" s="65"/>
      <c r="L76" s="65"/>
      <c r="M76" s="44"/>
      <c r="N76" s="44"/>
      <c r="O76" s="44"/>
      <c r="P76" s="17"/>
      <c r="Q76" s="60"/>
      <c r="R76" s="242" t="str">
        <f t="shared" si="3"/>
        <v/>
      </c>
      <c r="S76" s="243" t="str">
        <f t="shared" si="4"/>
        <v>-</v>
      </c>
      <c r="T76" s="61"/>
      <c r="U76" s="61"/>
      <c r="V76" s="61"/>
      <c r="W76" s="61"/>
      <c r="X76" s="61"/>
    </row>
    <row r="77" spans="1:80" s="62" customFormat="1" ht="24.95" customHeight="1">
      <c r="A77" s="63"/>
      <c r="B77" s="163"/>
      <c r="C77" s="163"/>
      <c r="D77" s="163"/>
      <c r="E77" s="64"/>
      <c r="F77" s="65"/>
      <c r="G77" s="65"/>
      <c r="H77" s="65"/>
      <c r="I77" s="65"/>
      <c r="J77" s="65"/>
      <c r="K77" s="65"/>
      <c r="L77" s="65"/>
      <c r="M77" s="44"/>
      <c r="N77" s="44"/>
      <c r="O77" s="44"/>
      <c r="P77" s="17"/>
      <c r="Q77" s="60"/>
      <c r="R77" s="242" t="str">
        <f t="shared" si="3"/>
        <v/>
      </c>
      <c r="S77" s="243" t="str">
        <f t="shared" si="4"/>
        <v>-</v>
      </c>
      <c r="T77" s="61"/>
      <c r="U77" s="61"/>
      <c r="V77" s="61"/>
      <c r="W77" s="61"/>
      <c r="X77" s="61"/>
    </row>
    <row r="78" spans="1:80" s="73" customFormat="1" ht="24.95" customHeight="1">
      <c r="A78" s="66" t="s">
        <v>41</v>
      </c>
      <c r="B78" s="67"/>
      <c r="C78" s="67"/>
      <c r="D78" s="67"/>
      <c r="E78" s="67"/>
      <c r="F78" s="68"/>
      <c r="G78" s="69"/>
      <c r="H78" s="69"/>
      <c r="I78" s="69">
        <f>SUM(I58:I77)</f>
        <v>0</v>
      </c>
      <c r="J78" s="70"/>
      <c r="K78" s="70"/>
      <c r="L78" s="70"/>
      <c r="M78" s="70"/>
      <c r="N78" s="70"/>
      <c r="O78" s="70"/>
      <c r="P78" s="71"/>
      <c r="Q78" s="60"/>
      <c r="R78" s="242" t="str">
        <f t="shared" si="3"/>
        <v/>
      </c>
      <c r="S78" s="243" t="str">
        <f t="shared" si="4"/>
        <v>-</v>
      </c>
      <c r="T78" s="61"/>
      <c r="U78" s="61"/>
      <c r="V78" s="61"/>
      <c r="W78" s="61"/>
      <c r="X78" s="61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</row>
    <row r="79" spans="1:80" s="62" customFormat="1" ht="24.95" customHeight="1">
      <c r="A79" s="58"/>
      <c r="B79" s="161"/>
      <c r="C79" s="161"/>
      <c r="D79" s="161"/>
      <c r="E79" s="82"/>
      <c r="F79" s="59"/>
      <c r="G79" s="59"/>
      <c r="H79" s="59"/>
      <c r="I79" s="59"/>
      <c r="J79" s="59"/>
      <c r="K79" s="59"/>
      <c r="L79" s="59"/>
      <c r="M79" s="43"/>
      <c r="N79" s="43"/>
      <c r="O79" s="43"/>
      <c r="P79" s="16"/>
      <c r="Q79" s="60"/>
      <c r="R79" s="242" t="str">
        <f t="shared" si="3"/>
        <v/>
      </c>
      <c r="S79" s="243" t="str">
        <f t="shared" si="4"/>
        <v>-</v>
      </c>
      <c r="T79" s="61"/>
      <c r="U79" s="61"/>
      <c r="V79" s="61"/>
      <c r="W79" s="61"/>
      <c r="X79" s="61"/>
    </row>
    <row r="80" spans="1:80" s="62" customFormat="1" ht="24.95" customHeight="1">
      <c r="A80" s="92"/>
      <c r="B80" s="162"/>
      <c r="C80" s="162"/>
      <c r="D80" s="162"/>
      <c r="E80" s="96"/>
      <c r="F80" s="93"/>
      <c r="G80" s="93"/>
      <c r="H80" s="93"/>
      <c r="I80" s="93"/>
      <c r="J80" s="93"/>
      <c r="K80" s="93"/>
      <c r="L80" s="93"/>
      <c r="M80" s="94"/>
      <c r="N80" s="94"/>
      <c r="O80" s="94"/>
      <c r="P80" s="95"/>
      <c r="Q80" s="60"/>
      <c r="R80" s="242" t="str">
        <f t="shared" si="3"/>
        <v/>
      </c>
      <c r="S80" s="243" t="str">
        <f t="shared" si="4"/>
        <v>-</v>
      </c>
      <c r="T80" s="61"/>
      <c r="U80" s="61"/>
      <c r="V80" s="61"/>
      <c r="W80" s="61"/>
      <c r="X80" s="61"/>
    </row>
    <row r="81" spans="1:24" s="62" customFormat="1" ht="24.95" customHeight="1">
      <c r="A81" s="63"/>
      <c r="B81" s="163"/>
      <c r="C81" s="163"/>
      <c r="D81" s="163"/>
      <c r="E81" s="83"/>
      <c r="F81" s="65"/>
      <c r="G81" s="65"/>
      <c r="H81" s="65"/>
      <c r="I81" s="65"/>
      <c r="J81" s="65"/>
      <c r="K81" s="65"/>
      <c r="L81" s="65"/>
      <c r="M81" s="44"/>
      <c r="N81" s="44"/>
      <c r="O81" s="44"/>
      <c r="P81" s="17"/>
      <c r="Q81" s="60"/>
      <c r="R81" s="242" t="str">
        <f t="shared" si="3"/>
        <v/>
      </c>
      <c r="S81" s="243" t="str">
        <f t="shared" si="4"/>
        <v>-</v>
      </c>
      <c r="T81" s="61"/>
      <c r="U81" s="61"/>
      <c r="V81" s="61"/>
      <c r="W81" s="61"/>
      <c r="X81" s="61"/>
    </row>
    <row r="82" spans="1:24" s="62" customFormat="1" ht="24.95" customHeight="1">
      <c r="A82" s="63"/>
      <c r="B82" s="163"/>
      <c r="C82" s="163"/>
      <c r="D82" s="163"/>
      <c r="E82" s="84"/>
      <c r="F82" s="65"/>
      <c r="G82" s="65"/>
      <c r="H82" s="65"/>
      <c r="I82" s="65"/>
      <c r="J82" s="65"/>
      <c r="K82" s="65"/>
      <c r="L82" s="65"/>
      <c r="M82" s="44"/>
      <c r="N82" s="44"/>
      <c r="O82" s="44"/>
      <c r="P82" s="17"/>
      <c r="Q82" s="60"/>
      <c r="R82" s="242" t="str">
        <f t="shared" si="3"/>
        <v/>
      </c>
      <c r="S82" s="243" t="str">
        <f t="shared" si="4"/>
        <v>-</v>
      </c>
      <c r="T82" s="61"/>
      <c r="U82" s="61"/>
      <c r="V82" s="61"/>
      <c r="W82" s="61"/>
      <c r="X82" s="61"/>
    </row>
    <row r="83" spans="1:24" s="62" customFormat="1" ht="35.1" customHeight="1">
      <c r="A83" s="63"/>
      <c r="B83" s="163"/>
      <c r="C83" s="163"/>
      <c r="D83" s="163"/>
      <c r="E83" s="89"/>
      <c r="F83" s="65"/>
      <c r="G83" s="65"/>
      <c r="H83" s="65"/>
      <c r="I83" s="65"/>
      <c r="J83" s="65"/>
      <c r="K83" s="65"/>
      <c r="L83" s="65"/>
      <c r="M83" s="44"/>
      <c r="N83" s="44"/>
      <c r="O83" s="44"/>
      <c r="P83" s="17"/>
      <c r="Q83" s="60"/>
      <c r="R83" s="242" t="str">
        <f t="shared" si="3"/>
        <v/>
      </c>
      <c r="S83" s="243" t="str">
        <f t="shared" si="4"/>
        <v>-</v>
      </c>
      <c r="T83" s="61"/>
      <c r="U83" s="61"/>
      <c r="V83" s="61"/>
      <c r="W83" s="61"/>
      <c r="X83" s="61"/>
    </row>
    <row r="84" spans="1:24" s="62" customFormat="1" ht="35.1" customHeight="1">
      <c r="A84" s="63"/>
      <c r="B84" s="163"/>
      <c r="C84" s="163"/>
      <c r="D84" s="163"/>
      <c r="E84" s="89"/>
      <c r="F84" s="65"/>
      <c r="G84" s="65"/>
      <c r="H84" s="65"/>
      <c r="I84" s="65"/>
      <c r="J84" s="65"/>
      <c r="K84" s="65"/>
      <c r="L84" s="65"/>
      <c r="M84" s="44"/>
      <c r="N84" s="44"/>
      <c r="O84" s="44"/>
      <c r="P84" s="17"/>
      <c r="Q84" s="60"/>
      <c r="R84" s="242" t="str">
        <f t="shared" si="3"/>
        <v/>
      </c>
      <c r="S84" s="243" t="str">
        <f t="shared" si="4"/>
        <v>-</v>
      </c>
      <c r="T84" s="61"/>
      <c r="U84" s="61"/>
      <c r="V84" s="61"/>
      <c r="W84" s="61"/>
      <c r="X84" s="61"/>
    </row>
    <row r="85" spans="1:24" s="62" customFormat="1" ht="35.1" customHeight="1">
      <c r="A85" s="63"/>
      <c r="B85" s="163"/>
      <c r="C85" s="163"/>
      <c r="D85" s="163"/>
      <c r="E85" s="89"/>
      <c r="F85" s="65"/>
      <c r="G85" s="65"/>
      <c r="H85" s="65"/>
      <c r="I85" s="65"/>
      <c r="J85" s="65"/>
      <c r="K85" s="65"/>
      <c r="L85" s="65"/>
      <c r="M85" s="44"/>
      <c r="N85" s="44"/>
      <c r="O85" s="44"/>
      <c r="P85" s="17"/>
      <c r="Q85" s="60"/>
      <c r="R85" s="242" t="str">
        <f t="shared" si="3"/>
        <v/>
      </c>
      <c r="S85" s="243" t="str">
        <f t="shared" si="4"/>
        <v>-</v>
      </c>
      <c r="T85" s="61"/>
      <c r="U85" s="61"/>
      <c r="V85" s="61"/>
      <c r="W85" s="61"/>
      <c r="X85" s="61"/>
    </row>
    <row r="86" spans="1:24" s="62" customFormat="1" ht="35.1" customHeight="1">
      <c r="A86" s="63"/>
      <c r="B86" s="163"/>
      <c r="C86" s="163"/>
      <c r="D86" s="163"/>
      <c r="E86" s="89"/>
      <c r="F86" s="65"/>
      <c r="G86" s="65"/>
      <c r="H86" s="65"/>
      <c r="I86" s="65"/>
      <c r="J86" s="65"/>
      <c r="K86" s="65"/>
      <c r="L86" s="65"/>
      <c r="M86" s="44"/>
      <c r="N86" s="44"/>
      <c r="O86" s="44"/>
      <c r="P86" s="17"/>
      <c r="Q86" s="60"/>
      <c r="R86" s="242" t="str">
        <f t="shared" si="3"/>
        <v/>
      </c>
      <c r="S86" s="243" t="str">
        <f t="shared" si="4"/>
        <v>-</v>
      </c>
      <c r="T86" s="61"/>
      <c r="U86" s="61"/>
      <c r="V86" s="61"/>
      <c r="W86" s="61"/>
      <c r="X86" s="61"/>
    </row>
    <row r="87" spans="1:24" s="62" customFormat="1" ht="35.1" customHeight="1">
      <c r="A87" s="63"/>
      <c r="B87" s="163"/>
      <c r="C87" s="163"/>
      <c r="D87" s="163"/>
      <c r="E87" s="89"/>
      <c r="F87" s="65"/>
      <c r="G87" s="65"/>
      <c r="H87" s="65"/>
      <c r="I87" s="65"/>
      <c r="J87" s="65"/>
      <c r="K87" s="65"/>
      <c r="L87" s="65"/>
      <c r="M87" s="44"/>
      <c r="N87" s="44"/>
      <c r="O87" s="44"/>
      <c r="P87" s="17"/>
      <c r="Q87" s="60"/>
      <c r="R87" s="242" t="str">
        <f t="shared" si="3"/>
        <v/>
      </c>
      <c r="S87" s="243" t="str">
        <f t="shared" si="4"/>
        <v>-</v>
      </c>
      <c r="T87" s="61"/>
      <c r="U87" s="61"/>
      <c r="V87" s="61"/>
      <c r="W87" s="61"/>
      <c r="X87" s="61"/>
    </row>
    <row r="88" spans="1:24" s="62" customFormat="1" ht="35.1" customHeight="1">
      <c r="A88" s="63"/>
      <c r="B88" s="163"/>
      <c r="C88" s="163"/>
      <c r="D88" s="163"/>
      <c r="E88" s="89"/>
      <c r="F88" s="65"/>
      <c r="G88" s="65"/>
      <c r="H88" s="65"/>
      <c r="I88" s="65"/>
      <c r="J88" s="65"/>
      <c r="K88" s="65"/>
      <c r="L88" s="65"/>
      <c r="M88" s="44"/>
      <c r="N88" s="44"/>
      <c r="O88" s="44"/>
      <c r="P88" s="17"/>
      <c r="Q88" s="60"/>
      <c r="R88" s="242" t="str">
        <f t="shared" si="3"/>
        <v/>
      </c>
      <c r="S88" s="243" t="str">
        <f t="shared" si="4"/>
        <v>-</v>
      </c>
      <c r="T88" s="61"/>
      <c r="U88" s="61"/>
      <c r="V88" s="61"/>
      <c r="W88" s="61"/>
      <c r="X88" s="61"/>
    </row>
    <row r="89" spans="1:24" s="62" customFormat="1" ht="35.1" customHeight="1">
      <c r="A89" s="63"/>
      <c r="B89" s="163"/>
      <c r="C89" s="163"/>
      <c r="D89" s="163"/>
      <c r="E89" s="89"/>
      <c r="F89" s="65"/>
      <c r="G89" s="65"/>
      <c r="H89" s="65"/>
      <c r="I89" s="65"/>
      <c r="J89" s="65"/>
      <c r="K89" s="65"/>
      <c r="L89" s="65"/>
      <c r="M89" s="44"/>
      <c r="N89" s="44"/>
      <c r="O89" s="44"/>
      <c r="P89" s="17"/>
      <c r="Q89" s="60"/>
      <c r="R89" s="242" t="str">
        <f t="shared" si="3"/>
        <v/>
      </c>
      <c r="S89" s="243" t="str">
        <f t="shared" si="4"/>
        <v>-</v>
      </c>
      <c r="T89" s="61"/>
      <c r="U89" s="61"/>
      <c r="V89" s="61"/>
      <c r="W89" s="61"/>
      <c r="X89" s="61"/>
    </row>
    <row r="90" spans="1:24" s="62" customFormat="1" ht="35.1" customHeight="1">
      <c r="A90" s="63"/>
      <c r="B90" s="163"/>
      <c r="C90" s="163"/>
      <c r="D90" s="163"/>
      <c r="E90" s="64"/>
      <c r="F90" s="65"/>
      <c r="G90" s="65"/>
      <c r="H90" s="65"/>
      <c r="I90" s="65"/>
      <c r="J90" s="65"/>
      <c r="K90" s="65"/>
      <c r="L90" s="65"/>
      <c r="M90" s="44"/>
      <c r="N90" s="44"/>
      <c r="O90" s="44"/>
      <c r="P90" s="17"/>
      <c r="Q90" s="60"/>
      <c r="R90" s="242" t="str">
        <f t="shared" si="3"/>
        <v/>
      </c>
      <c r="S90" s="243" t="str">
        <f t="shared" si="4"/>
        <v>-</v>
      </c>
      <c r="T90" s="61"/>
      <c r="U90" s="61"/>
      <c r="V90" s="61"/>
      <c r="W90" s="61"/>
      <c r="X90" s="61"/>
    </row>
    <row r="91" spans="1:24" s="62" customFormat="1" ht="35.1" customHeight="1">
      <c r="A91" s="63"/>
      <c r="B91" s="163"/>
      <c r="C91" s="163"/>
      <c r="D91" s="163"/>
      <c r="E91" s="64"/>
      <c r="F91" s="65"/>
      <c r="G91" s="65"/>
      <c r="H91" s="65"/>
      <c r="I91" s="65"/>
      <c r="J91" s="65"/>
      <c r="K91" s="65"/>
      <c r="L91" s="65"/>
      <c r="M91" s="44"/>
      <c r="N91" s="44"/>
      <c r="O91" s="44"/>
      <c r="P91" s="17"/>
      <c r="Q91" s="60"/>
      <c r="R91" s="242" t="str">
        <f t="shared" si="3"/>
        <v/>
      </c>
      <c r="S91" s="243" t="str">
        <f t="shared" si="4"/>
        <v>-</v>
      </c>
      <c r="T91" s="61"/>
      <c r="U91" s="61"/>
      <c r="V91" s="61"/>
      <c r="W91" s="61"/>
      <c r="X91" s="61"/>
    </row>
    <row r="92" spans="1:24" s="62" customFormat="1" ht="35.1" customHeight="1">
      <c r="A92" s="63"/>
      <c r="B92" s="163"/>
      <c r="C92" s="163"/>
      <c r="D92" s="163"/>
      <c r="E92" s="64"/>
      <c r="F92" s="65"/>
      <c r="G92" s="65"/>
      <c r="H92" s="65"/>
      <c r="I92" s="65"/>
      <c r="J92" s="65"/>
      <c r="K92" s="65"/>
      <c r="L92" s="65"/>
      <c r="M92" s="44"/>
      <c r="N92" s="44"/>
      <c r="O92" s="44"/>
      <c r="P92" s="17"/>
      <c r="Q92" s="60"/>
      <c r="R92" s="242" t="str">
        <f t="shared" si="3"/>
        <v/>
      </c>
      <c r="S92" s="243" t="str">
        <f t="shared" si="4"/>
        <v>-</v>
      </c>
      <c r="T92" s="61"/>
      <c r="U92" s="61"/>
      <c r="V92" s="61"/>
      <c r="W92" s="61"/>
      <c r="X92" s="61"/>
    </row>
    <row r="93" spans="1:24" s="62" customFormat="1" ht="35.1" customHeight="1">
      <c r="A93" s="63"/>
      <c r="B93" s="163"/>
      <c r="C93" s="163"/>
      <c r="D93" s="163"/>
      <c r="E93" s="64"/>
      <c r="F93" s="65"/>
      <c r="G93" s="65"/>
      <c r="H93" s="65"/>
      <c r="I93" s="65"/>
      <c r="J93" s="65"/>
      <c r="K93" s="65"/>
      <c r="L93" s="65"/>
      <c r="M93" s="44"/>
      <c r="N93" s="44"/>
      <c r="O93" s="44"/>
      <c r="P93" s="17"/>
      <c r="Q93" s="60"/>
      <c r="R93" s="242" t="str">
        <f t="shared" si="3"/>
        <v/>
      </c>
      <c r="S93" s="243" t="str">
        <f t="shared" si="4"/>
        <v>-</v>
      </c>
      <c r="T93" s="61"/>
      <c r="U93" s="61"/>
      <c r="V93" s="61"/>
      <c r="W93" s="61"/>
      <c r="X93" s="61"/>
    </row>
    <row r="94" spans="1:24" s="62" customFormat="1" ht="35.1" customHeight="1">
      <c r="A94" s="63"/>
      <c r="B94" s="163"/>
      <c r="C94" s="163"/>
      <c r="D94" s="163"/>
      <c r="E94" s="64"/>
      <c r="F94" s="65"/>
      <c r="G94" s="65"/>
      <c r="H94" s="65"/>
      <c r="I94" s="65"/>
      <c r="J94" s="65"/>
      <c r="K94" s="65"/>
      <c r="L94" s="65"/>
      <c r="M94" s="44"/>
      <c r="N94" s="44"/>
      <c r="O94" s="44"/>
      <c r="P94" s="17"/>
      <c r="Q94" s="60"/>
      <c r="R94" s="242" t="str">
        <f t="shared" si="3"/>
        <v/>
      </c>
      <c r="S94" s="243" t="str">
        <f t="shared" si="4"/>
        <v>-</v>
      </c>
      <c r="T94" s="61"/>
      <c r="U94" s="61"/>
      <c r="V94" s="61"/>
      <c r="W94" s="61"/>
      <c r="X94" s="61"/>
    </row>
    <row r="95" spans="1:24" s="62" customFormat="1" ht="35.1" customHeight="1">
      <c r="A95" s="63"/>
      <c r="B95" s="163"/>
      <c r="C95" s="163"/>
      <c r="D95" s="163"/>
      <c r="E95" s="64"/>
      <c r="F95" s="65"/>
      <c r="G95" s="65"/>
      <c r="H95" s="65"/>
      <c r="I95" s="65"/>
      <c r="J95" s="65"/>
      <c r="K95" s="65"/>
      <c r="L95" s="65"/>
      <c r="M95" s="44"/>
      <c r="N95" s="44"/>
      <c r="O95" s="44"/>
      <c r="P95" s="17"/>
      <c r="Q95" s="60"/>
      <c r="R95" s="242" t="str">
        <f t="shared" si="3"/>
        <v/>
      </c>
      <c r="S95" s="243" t="str">
        <f t="shared" si="4"/>
        <v>-</v>
      </c>
      <c r="T95" s="61"/>
      <c r="U95" s="61"/>
      <c r="V95" s="61"/>
      <c r="W95" s="61"/>
      <c r="X95" s="61"/>
    </row>
    <row r="96" spans="1:24" s="62" customFormat="1" ht="35.1" customHeight="1">
      <c r="A96" s="63"/>
      <c r="B96" s="163"/>
      <c r="C96" s="163"/>
      <c r="D96" s="163"/>
      <c r="E96" s="64"/>
      <c r="F96" s="65"/>
      <c r="G96" s="65"/>
      <c r="H96" s="65"/>
      <c r="I96" s="65"/>
      <c r="J96" s="65"/>
      <c r="K96" s="65"/>
      <c r="L96" s="65"/>
      <c r="M96" s="44"/>
      <c r="N96" s="44"/>
      <c r="O96" s="44"/>
      <c r="P96" s="17"/>
      <c r="Q96" s="60"/>
      <c r="R96" s="242" t="str">
        <f t="shared" si="3"/>
        <v/>
      </c>
      <c r="S96" s="243" t="str">
        <f t="shared" si="4"/>
        <v>-</v>
      </c>
      <c r="T96" s="61"/>
      <c r="U96" s="61"/>
      <c r="V96" s="61"/>
      <c r="W96" s="61"/>
      <c r="X96" s="61"/>
    </row>
    <row r="97" spans="1:80" s="62" customFormat="1" ht="35.1" customHeight="1">
      <c r="A97" s="63"/>
      <c r="B97" s="163"/>
      <c r="C97" s="163"/>
      <c r="D97" s="163"/>
      <c r="E97" s="64"/>
      <c r="F97" s="65"/>
      <c r="G97" s="65"/>
      <c r="H97" s="65"/>
      <c r="I97" s="65"/>
      <c r="J97" s="65"/>
      <c r="K97" s="65"/>
      <c r="L97" s="65"/>
      <c r="M97" s="44"/>
      <c r="N97" s="44"/>
      <c r="O97" s="44"/>
      <c r="P97" s="17"/>
      <c r="Q97" s="60"/>
      <c r="R97" s="242" t="str">
        <f t="shared" si="3"/>
        <v/>
      </c>
      <c r="S97" s="243" t="str">
        <f t="shared" si="4"/>
        <v>-</v>
      </c>
      <c r="T97" s="61"/>
      <c r="U97" s="61"/>
      <c r="V97" s="61"/>
      <c r="W97" s="61"/>
      <c r="X97" s="61"/>
    </row>
    <row r="98" spans="1:80" s="62" customFormat="1" ht="35.1" customHeight="1">
      <c r="A98" s="63"/>
      <c r="B98" s="163"/>
      <c r="C98" s="163"/>
      <c r="D98" s="163"/>
      <c r="E98" s="64"/>
      <c r="F98" s="65"/>
      <c r="G98" s="65"/>
      <c r="H98" s="65"/>
      <c r="I98" s="65"/>
      <c r="J98" s="65"/>
      <c r="K98" s="65"/>
      <c r="L98" s="65"/>
      <c r="M98" s="44"/>
      <c r="N98" s="44"/>
      <c r="O98" s="44"/>
      <c r="P98" s="17"/>
      <c r="Q98" s="60"/>
      <c r="R98" s="242" t="str">
        <f t="shared" si="3"/>
        <v/>
      </c>
      <c r="S98" s="243" t="str">
        <f t="shared" si="4"/>
        <v>-</v>
      </c>
      <c r="T98" s="61"/>
      <c r="U98" s="61"/>
      <c r="V98" s="61"/>
      <c r="W98" s="61"/>
      <c r="X98" s="61"/>
    </row>
    <row r="99" spans="1:80" s="73" customFormat="1" ht="35.1" customHeight="1">
      <c r="A99" s="66" t="s">
        <v>41</v>
      </c>
      <c r="B99" s="67"/>
      <c r="C99" s="67"/>
      <c r="D99" s="67"/>
      <c r="E99" s="67"/>
      <c r="F99" s="68"/>
      <c r="G99" s="69"/>
      <c r="H99" s="69"/>
      <c r="I99" s="69">
        <f>SUM(I79:I98)</f>
        <v>0</v>
      </c>
      <c r="J99" s="70"/>
      <c r="K99" s="70"/>
      <c r="L99" s="70"/>
      <c r="M99" s="70"/>
      <c r="N99" s="70"/>
      <c r="O99" s="70"/>
      <c r="P99" s="71"/>
      <c r="Q99" s="60"/>
      <c r="R99" s="242" t="str">
        <f t="shared" si="3"/>
        <v/>
      </c>
      <c r="S99" s="243" t="str">
        <f t="shared" si="4"/>
        <v>-</v>
      </c>
      <c r="T99" s="61"/>
      <c r="U99" s="61"/>
      <c r="V99" s="61"/>
      <c r="W99" s="61"/>
      <c r="X99" s="61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  <c r="BZ99" s="72"/>
      <c r="CA99" s="72"/>
      <c r="CB99" s="72"/>
    </row>
    <row r="100" spans="1:80" s="62" customFormat="1" ht="35.1" customHeight="1">
      <c r="A100" s="58"/>
      <c r="B100" s="161"/>
      <c r="C100" s="161"/>
      <c r="D100" s="161"/>
      <c r="E100" s="82"/>
      <c r="F100" s="59"/>
      <c r="G100" s="59"/>
      <c r="H100" s="59"/>
      <c r="I100" s="59"/>
      <c r="J100" s="59"/>
      <c r="K100" s="59"/>
      <c r="L100" s="59"/>
      <c r="M100" s="43"/>
      <c r="N100" s="43"/>
      <c r="O100" s="43"/>
      <c r="P100" s="16"/>
      <c r="Q100" s="60"/>
      <c r="R100" s="242" t="str">
        <f t="shared" si="3"/>
        <v/>
      </c>
      <c r="S100" s="243" t="str">
        <f t="shared" si="4"/>
        <v>-</v>
      </c>
      <c r="T100" s="61"/>
      <c r="U100" s="61"/>
      <c r="V100" s="61"/>
      <c r="W100" s="61"/>
      <c r="X100" s="61"/>
    </row>
    <row r="101" spans="1:80" s="62" customFormat="1" ht="35.1" customHeight="1">
      <c r="A101" s="92"/>
      <c r="B101" s="162"/>
      <c r="C101" s="162"/>
      <c r="D101" s="162"/>
      <c r="E101" s="96"/>
      <c r="F101" s="93"/>
      <c r="G101" s="93"/>
      <c r="H101" s="93"/>
      <c r="I101" s="93"/>
      <c r="J101" s="93"/>
      <c r="K101" s="93"/>
      <c r="L101" s="93"/>
      <c r="M101" s="94"/>
      <c r="N101" s="94"/>
      <c r="O101" s="94"/>
      <c r="P101" s="95"/>
      <c r="Q101" s="60"/>
      <c r="R101" s="242" t="str">
        <f t="shared" si="3"/>
        <v/>
      </c>
      <c r="S101" s="243" t="str">
        <f t="shared" si="4"/>
        <v>-</v>
      </c>
      <c r="T101" s="61"/>
      <c r="U101" s="61"/>
      <c r="V101" s="61"/>
      <c r="W101" s="61"/>
      <c r="X101" s="61"/>
    </row>
    <row r="102" spans="1:80" s="62" customFormat="1" ht="35.1" customHeight="1">
      <c r="A102" s="63"/>
      <c r="B102" s="163"/>
      <c r="C102" s="163"/>
      <c r="D102" s="163"/>
      <c r="E102" s="83"/>
      <c r="F102" s="65"/>
      <c r="G102" s="65"/>
      <c r="H102" s="65"/>
      <c r="I102" s="65"/>
      <c r="J102" s="65"/>
      <c r="K102" s="65"/>
      <c r="L102" s="65"/>
      <c r="M102" s="44"/>
      <c r="N102" s="44"/>
      <c r="O102" s="44"/>
      <c r="P102" s="17"/>
      <c r="Q102" s="60"/>
      <c r="R102" s="242" t="str">
        <f t="shared" si="3"/>
        <v/>
      </c>
      <c r="S102" s="243" t="str">
        <f t="shared" si="4"/>
        <v>-</v>
      </c>
      <c r="T102" s="61"/>
      <c r="U102" s="61"/>
      <c r="V102" s="61"/>
      <c r="W102" s="61"/>
      <c r="X102" s="61"/>
    </row>
    <row r="103" spans="1:80" s="62" customFormat="1" ht="35.1" customHeight="1">
      <c r="A103" s="63"/>
      <c r="B103" s="163"/>
      <c r="C103" s="163"/>
      <c r="D103" s="163"/>
      <c r="E103" s="84"/>
      <c r="F103" s="65"/>
      <c r="G103" s="65"/>
      <c r="H103" s="65"/>
      <c r="I103" s="65"/>
      <c r="J103" s="65"/>
      <c r="K103" s="65"/>
      <c r="L103" s="65"/>
      <c r="M103" s="44"/>
      <c r="N103" s="44"/>
      <c r="O103" s="44"/>
      <c r="P103" s="17"/>
      <c r="Q103" s="60"/>
      <c r="R103" s="242" t="str">
        <f t="shared" si="3"/>
        <v/>
      </c>
      <c r="S103" s="243" t="str">
        <f t="shared" si="4"/>
        <v>-</v>
      </c>
      <c r="T103" s="61"/>
      <c r="U103" s="61"/>
      <c r="V103" s="61"/>
      <c r="W103" s="61"/>
      <c r="X103" s="61"/>
    </row>
    <row r="104" spans="1:80" s="62" customFormat="1" ht="35.1" customHeight="1">
      <c r="A104" s="63"/>
      <c r="B104" s="163"/>
      <c r="C104" s="163"/>
      <c r="D104" s="163"/>
      <c r="E104" s="89"/>
      <c r="F104" s="65"/>
      <c r="G104" s="65"/>
      <c r="H104" s="65"/>
      <c r="I104" s="65"/>
      <c r="J104" s="65"/>
      <c r="K104" s="65"/>
      <c r="L104" s="65"/>
      <c r="M104" s="44"/>
      <c r="N104" s="44"/>
      <c r="O104" s="44"/>
      <c r="P104" s="17"/>
      <c r="Q104" s="60"/>
      <c r="R104" s="242" t="str">
        <f t="shared" si="3"/>
        <v/>
      </c>
      <c r="S104" s="243" t="str">
        <f t="shared" si="4"/>
        <v>-</v>
      </c>
      <c r="T104" s="61"/>
      <c r="U104" s="61"/>
      <c r="V104" s="61"/>
      <c r="W104" s="61"/>
      <c r="X104" s="61"/>
    </row>
    <row r="105" spans="1:80" s="62" customFormat="1" ht="35.1" customHeight="1">
      <c r="A105" s="63"/>
      <c r="B105" s="163"/>
      <c r="C105" s="163"/>
      <c r="D105" s="163"/>
      <c r="E105" s="89"/>
      <c r="F105" s="65"/>
      <c r="G105" s="65"/>
      <c r="H105" s="65"/>
      <c r="I105" s="65"/>
      <c r="J105" s="65"/>
      <c r="K105" s="65"/>
      <c r="L105" s="65"/>
      <c r="M105" s="44"/>
      <c r="N105" s="44"/>
      <c r="O105" s="44"/>
      <c r="P105" s="17"/>
      <c r="Q105" s="60"/>
      <c r="R105" s="242" t="str">
        <f t="shared" si="3"/>
        <v/>
      </c>
      <c r="S105" s="243" t="str">
        <f t="shared" si="4"/>
        <v>-</v>
      </c>
      <c r="T105" s="61"/>
      <c r="U105" s="61"/>
      <c r="V105" s="61"/>
      <c r="W105" s="61"/>
      <c r="X105" s="61"/>
    </row>
    <row r="106" spans="1:80" s="62" customFormat="1" ht="35.1" customHeight="1">
      <c r="A106" s="63"/>
      <c r="B106" s="163"/>
      <c r="C106" s="163"/>
      <c r="D106" s="163"/>
      <c r="E106" s="89"/>
      <c r="F106" s="65"/>
      <c r="G106" s="65"/>
      <c r="H106" s="65"/>
      <c r="I106" s="65"/>
      <c r="J106" s="65"/>
      <c r="K106" s="65"/>
      <c r="L106" s="65"/>
      <c r="M106" s="44"/>
      <c r="N106" s="44"/>
      <c r="O106" s="44"/>
      <c r="P106" s="17"/>
      <c r="Q106" s="60"/>
      <c r="R106" s="242" t="str">
        <f t="shared" si="3"/>
        <v/>
      </c>
      <c r="S106" s="243" t="str">
        <f t="shared" si="4"/>
        <v>-</v>
      </c>
      <c r="T106" s="61"/>
      <c r="U106" s="61"/>
      <c r="V106" s="61"/>
      <c r="W106" s="61"/>
      <c r="X106" s="61"/>
    </row>
    <row r="107" spans="1:80" s="62" customFormat="1" ht="35.1" customHeight="1">
      <c r="A107" s="63"/>
      <c r="B107" s="163"/>
      <c r="C107" s="163"/>
      <c r="D107" s="163"/>
      <c r="E107" s="89"/>
      <c r="F107" s="65"/>
      <c r="G107" s="65"/>
      <c r="H107" s="65"/>
      <c r="I107" s="65"/>
      <c r="J107" s="65"/>
      <c r="K107" s="65"/>
      <c r="L107" s="65"/>
      <c r="M107" s="44"/>
      <c r="N107" s="44"/>
      <c r="O107" s="44"/>
      <c r="P107" s="17"/>
      <c r="Q107" s="60"/>
      <c r="R107" s="242" t="str">
        <f t="shared" si="3"/>
        <v/>
      </c>
      <c r="S107" s="243" t="str">
        <f t="shared" si="4"/>
        <v>-</v>
      </c>
      <c r="T107" s="61"/>
      <c r="U107" s="61"/>
      <c r="V107" s="61"/>
      <c r="W107" s="61"/>
      <c r="X107" s="61"/>
    </row>
    <row r="108" spans="1:80" s="62" customFormat="1" ht="35.1" customHeight="1">
      <c r="A108" s="63"/>
      <c r="B108" s="163"/>
      <c r="C108" s="163"/>
      <c r="D108" s="163"/>
      <c r="E108" s="89"/>
      <c r="F108" s="65"/>
      <c r="G108" s="65"/>
      <c r="H108" s="65"/>
      <c r="I108" s="65"/>
      <c r="J108" s="65"/>
      <c r="K108" s="65"/>
      <c r="L108" s="65"/>
      <c r="M108" s="44"/>
      <c r="N108" s="44"/>
      <c r="O108" s="44"/>
      <c r="P108" s="17"/>
      <c r="Q108" s="60"/>
      <c r="R108" s="242" t="str">
        <f t="shared" si="3"/>
        <v/>
      </c>
      <c r="S108" s="243" t="str">
        <f t="shared" si="4"/>
        <v>-</v>
      </c>
      <c r="T108" s="61"/>
      <c r="U108" s="61"/>
      <c r="V108" s="61"/>
      <c r="W108" s="61"/>
      <c r="X108" s="61"/>
    </row>
    <row r="109" spans="1:80" s="62" customFormat="1" ht="35.1" customHeight="1">
      <c r="A109" s="63"/>
      <c r="B109" s="163"/>
      <c r="C109" s="163"/>
      <c r="D109" s="163"/>
      <c r="E109" s="89"/>
      <c r="F109" s="65"/>
      <c r="G109" s="65"/>
      <c r="H109" s="65"/>
      <c r="I109" s="65"/>
      <c r="J109" s="65"/>
      <c r="K109" s="65"/>
      <c r="L109" s="65"/>
      <c r="M109" s="44"/>
      <c r="N109" s="44"/>
      <c r="O109" s="44"/>
      <c r="P109" s="17"/>
      <c r="Q109" s="60"/>
      <c r="R109" s="242" t="str">
        <f t="shared" si="3"/>
        <v/>
      </c>
      <c r="S109" s="243" t="str">
        <f t="shared" si="4"/>
        <v>-</v>
      </c>
      <c r="T109" s="61"/>
      <c r="U109" s="61"/>
      <c r="V109" s="61"/>
      <c r="W109" s="61"/>
      <c r="X109" s="61"/>
    </row>
    <row r="110" spans="1:80" s="62" customFormat="1" ht="35.1" customHeight="1">
      <c r="A110" s="63"/>
      <c r="B110" s="163"/>
      <c r="C110" s="163"/>
      <c r="D110" s="163"/>
      <c r="E110" s="89"/>
      <c r="F110" s="65"/>
      <c r="G110" s="65"/>
      <c r="H110" s="65"/>
      <c r="I110" s="65"/>
      <c r="J110" s="65"/>
      <c r="K110" s="65"/>
      <c r="L110" s="65"/>
      <c r="M110" s="44"/>
      <c r="N110" s="44"/>
      <c r="O110" s="44"/>
      <c r="P110" s="17"/>
      <c r="Q110" s="60"/>
      <c r="R110" s="242" t="str">
        <f t="shared" si="3"/>
        <v/>
      </c>
      <c r="S110" s="243" t="str">
        <f t="shared" si="4"/>
        <v>-</v>
      </c>
      <c r="T110" s="61"/>
      <c r="U110" s="61"/>
      <c r="V110" s="61"/>
      <c r="W110" s="61"/>
      <c r="X110" s="61"/>
    </row>
    <row r="111" spans="1:80" s="62" customFormat="1" ht="35.1" customHeight="1">
      <c r="A111" s="63"/>
      <c r="B111" s="163"/>
      <c r="C111" s="163"/>
      <c r="D111" s="163"/>
      <c r="E111" s="64"/>
      <c r="F111" s="65"/>
      <c r="G111" s="65"/>
      <c r="H111" s="65"/>
      <c r="I111" s="65"/>
      <c r="J111" s="65"/>
      <c r="K111" s="65"/>
      <c r="L111" s="65"/>
      <c r="M111" s="44"/>
      <c r="N111" s="44"/>
      <c r="O111" s="44"/>
      <c r="P111" s="17"/>
      <c r="Q111" s="60"/>
      <c r="R111" s="242" t="str">
        <f t="shared" si="3"/>
        <v/>
      </c>
      <c r="S111" s="243" t="str">
        <f t="shared" si="4"/>
        <v>-</v>
      </c>
      <c r="T111" s="61"/>
      <c r="U111" s="61"/>
      <c r="V111" s="61"/>
      <c r="W111" s="61"/>
      <c r="X111" s="61"/>
    </row>
    <row r="112" spans="1:80" s="62" customFormat="1" ht="35.1" customHeight="1">
      <c r="A112" s="63"/>
      <c r="B112" s="163"/>
      <c r="C112" s="163"/>
      <c r="D112" s="163"/>
      <c r="E112" s="64"/>
      <c r="F112" s="65"/>
      <c r="G112" s="65"/>
      <c r="H112" s="65"/>
      <c r="I112" s="65"/>
      <c r="J112" s="65"/>
      <c r="K112" s="65"/>
      <c r="L112" s="65"/>
      <c r="M112" s="44"/>
      <c r="N112" s="44"/>
      <c r="O112" s="44"/>
      <c r="P112" s="17"/>
      <c r="Q112" s="60"/>
      <c r="R112" s="242" t="str">
        <f t="shared" si="3"/>
        <v/>
      </c>
      <c r="S112" s="243" t="str">
        <f t="shared" si="4"/>
        <v>-</v>
      </c>
      <c r="T112" s="61"/>
      <c r="U112" s="61"/>
      <c r="V112" s="61"/>
      <c r="W112" s="61"/>
      <c r="X112" s="61"/>
    </row>
    <row r="113" spans="1:80" s="62" customFormat="1" ht="35.1" customHeight="1">
      <c r="A113" s="63"/>
      <c r="B113" s="163"/>
      <c r="C113" s="163"/>
      <c r="D113" s="163"/>
      <c r="E113" s="64"/>
      <c r="F113" s="65"/>
      <c r="G113" s="65"/>
      <c r="H113" s="65"/>
      <c r="I113" s="65"/>
      <c r="J113" s="65"/>
      <c r="K113" s="65"/>
      <c r="L113" s="65"/>
      <c r="M113" s="44"/>
      <c r="N113" s="44"/>
      <c r="O113" s="44"/>
      <c r="P113" s="17"/>
      <c r="Q113" s="60"/>
      <c r="R113" s="242" t="str">
        <f t="shared" si="3"/>
        <v/>
      </c>
      <c r="S113" s="243" t="str">
        <f t="shared" si="4"/>
        <v>-</v>
      </c>
      <c r="T113" s="61"/>
      <c r="U113" s="61"/>
      <c r="V113" s="61"/>
      <c r="W113" s="61"/>
      <c r="X113" s="61"/>
    </row>
    <row r="114" spans="1:80" s="62" customFormat="1" ht="35.1" customHeight="1">
      <c r="A114" s="63"/>
      <c r="B114" s="163"/>
      <c r="C114" s="163"/>
      <c r="D114" s="163"/>
      <c r="E114" s="64"/>
      <c r="F114" s="65"/>
      <c r="G114" s="65"/>
      <c r="H114" s="65"/>
      <c r="I114" s="65"/>
      <c r="J114" s="65"/>
      <c r="K114" s="65"/>
      <c r="L114" s="65"/>
      <c r="M114" s="44"/>
      <c r="N114" s="44"/>
      <c r="O114" s="44"/>
      <c r="P114" s="17"/>
      <c r="Q114" s="60"/>
      <c r="R114" s="242" t="str">
        <f t="shared" si="3"/>
        <v/>
      </c>
      <c r="S114" s="243" t="str">
        <f t="shared" si="4"/>
        <v>-</v>
      </c>
      <c r="T114" s="61"/>
      <c r="U114" s="61"/>
      <c r="V114" s="61"/>
      <c r="W114" s="61"/>
      <c r="X114" s="61"/>
    </row>
    <row r="115" spans="1:80" s="62" customFormat="1" ht="35.1" customHeight="1">
      <c r="A115" s="63"/>
      <c r="B115" s="163"/>
      <c r="C115" s="163"/>
      <c r="D115" s="163"/>
      <c r="E115" s="64"/>
      <c r="F115" s="65"/>
      <c r="G115" s="65"/>
      <c r="H115" s="65"/>
      <c r="I115" s="65"/>
      <c r="J115" s="65"/>
      <c r="K115" s="65"/>
      <c r="L115" s="65"/>
      <c r="M115" s="44"/>
      <c r="N115" s="44"/>
      <c r="O115" s="44"/>
      <c r="P115" s="17"/>
      <c r="Q115" s="60"/>
      <c r="R115" s="242" t="str">
        <f t="shared" si="3"/>
        <v/>
      </c>
      <c r="S115" s="243" t="str">
        <f t="shared" si="4"/>
        <v>-</v>
      </c>
      <c r="T115" s="61"/>
      <c r="U115" s="61"/>
      <c r="V115" s="61"/>
      <c r="W115" s="61"/>
      <c r="X115" s="61"/>
    </row>
    <row r="116" spans="1:80" s="62" customFormat="1" ht="35.1" customHeight="1">
      <c r="A116" s="63"/>
      <c r="B116" s="163"/>
      <c r="C116" s="163"/>
      <c r="D116" s="163"/>
      <c r="E116" s="64"/>
      <c r="F116" s="65"/>
      <c r="G116" s="65"/>
      <c r="H116" s="65"/>
      <c r="I116" s="65"/>
      <c r="J116" s="65"/>
      <c r="K116" s="65"/>
      <c r="L116" s="65"/>
      <c r="M116" s="44"/>
      <c r="N116" s="44"/>
      <c r="O116" s="44"/>
      <c r="P116" s="17"/>
      <c r="Q116" s="60"/>
      <c r="R116" s="242" t="str">
        <f t="shared" si="3"/>
        <v/>
      </c>
      <c r="S116" s="243" t="str">
        <f t="shared" si="4"/>
        <v>-</v>
      </c>
      <c r="T116" s="61"/>
      <c r="U116" s="61"/>
      <c r="V116" s="61"/>
      <c r="W116" s="61"/>
      <c r="X116" s="61"/>
    </row>
    <row r="117" spans="1:80" s="62" customFormat="1" ht="35.1" customHeight="1">
      <c r="A117" s="63"/>
      <c r="B117" s="163"/>
      <c r="C117" s="163"/>
      <c r="D117" s="163"/>
      <c r="E117" s="64"/>
      <c r="F117" s="65"/>
      <c r="G117" s="65"/>
      <c r="H117" s="65"/>
      <c r="I117" s="65"/>
      <c r="J117" s="65"/>
      <c r="K117" s="65"/>
      <c r="L117" s="65"/>
      <c r="M117" s="44"/>
      <c r="N117" s="44"/>
      <c r="O117" s="44"/>
      <c r="P117" s="17"/>
      <c r="Q117" s="60"/>
      <c r="R117" s="242" t="str">
        <f t="shared" si="3"/>
        <v/>
      </c>
      <c r="S117" s="243" t="str">
        <f t="shared" si="4"/>
        <v>-</v>
      </c>
      <c r="T117" s="61"/>
      <c r="U117" s="61"/>
      <c r="V117" s="61"/>
      <c r="W117" s="61"/>
      <c r="X117" s="61"/>
    </row>
    <row r="118" spans="1:80" s="62" customFormat="1" ht="35.1" customHeight="1">
      <c r="A118" s="63"/>
      <c r="B118" s="163"/>
      <c r="C118" s="163"/>
      <c r="D118" s="163"/>
      <c r="E118" s="64"/>
      <c r="F118" s="65"/>
      <c r="G118" s="65"/>
      <c r="H118" s="65"/>
      <c r="I118" s="65"/>
      <c r="J118" s="65"/>
      <c r="K118" s="65"/>
      <c r="L118" s="65"/>
      <c r="M118" s="44"/>
      <c r="N118" s="44"/>
      <c r="O118" s="44"/>
      <c r="P118" s="17"/>
      <c r="Q118" s="60"/>
      <c r="R118" s="242" t="str">
        <f t="shared" si="3"/>
        <v/>
      </c>
      <c r="S118" s="243" t="str">
        <f t="shared" si="4"/>
        <v>-</v>
      </c>
      <c r="T118" s="61"/>
      <c r="U118" s="61"/>
      <c r="V118" s="61"/>
      <c r="W118" s="61"/>
      <c r="X118" s="61"/>
    </row>
    <row r="119" spans="1:80" s="62" customFormat="1" ht="35.1" customHeight="1">
      <c r="A119" s="63"/>
      <c r="B119" s="163"/>
      <c r="C119" s="163"/>
      <c r="D119" s="163"/>
      <c r="E119" s="64"/>
      <c r="F119" s="65"/>
      <c r="G119" s="65"/>
      <c r="H119" s="65"/>
      <c r="I119" s="65"/>
      <c r="J119" s="65"/>
      <c r="K119" s="65"/>
      <c r="L119" s="65"/>
      <c r="M119" s="44"/>
      <c r="N119" s="44"/>
      <c r="O119" s="44"/>
      <c r="P119" s="17"/>
      <c r="Q119" s="60"/>
      <c r="R119" s="242" t="str">
        <f t="shared" si="3"/>
        <v/>
      </c>
      <c r="S119" s="243" t="str">
        <f t="shared" si="4"/>
        <v>-</v>
      </c>
      <c r="T119" s="61"/>
      <c r="U119" s="61"/>
      <c r="V119" s="61"/>
      <c r="W119" s="61"/>
      <c r="X119" s="61"/>
    </row>
    <row r="120" spans="1:80" s="73" customFormat="1" ht="35.1" customHeight="1">
      <c r="A120" s="66" t="s">
        <v>41</v>
      </c>
      <c r="B120" s="67"/>
      <c r="C120" s="67"/>
      <c r="D120" s="67"/>
      <c r="E120" s="67"/>
      <c r="F120" s="68"/>
      <c r="G120" s="69"/>
      <c r="H120" s="69"/>
      <c r="I120" s="69">
        <f>SUM(I100:I119)</f>
        <v>0</v>
      </c>
      <c r="J120" s="70"/>
      <c r="K120" s="70"/>
      <c r="L120" s="70"/>
      <c r="M120" s="70"/>
      <c r="N120" s="70"/>
      <c r="O120" s="70"/>
      <c r="P120" s="71"/>
      <c r="Q120" s="60"/>
      <c r="R120" s="242" t="str">
        <f t="shared" si="3"/>
        <v/>
      </c>
      <c r="S120" s="243" t="str">
        <f t="shared" si="4"/>
        <v>-</v>
      </c>
      <c r="T120" s="61"/>
      <c r="U120" s="61"/>
      <c r="V120" s="61"/>
      <c r="W120" s="61"/>
      <c r="X120" s="61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  <c r="BZ120" s="72"/>
      <c r="CA120" s="72"/>
      <c r="CB120" s="72"/>
    </row>
    <row r="121" spans="1:80" s="62" customFormat="1" ht="35.1" customHeight="1">
      <c r="A121" s="58"/>
      <c r="B121" s="161"/>
      <c r="C121" s="161"/>
      <c r="D121" s="161"/>
      <c r="E121" s="82"/>
      <c r="F121" s="59"/>
      <c r="G121" s="59"/>
      <c r="H121" s="59"/>
      <c r="I121" s="59"/>
      <c r="J121" s="59"/>
      <c r="K121" s="59"/>
      <c r="L121" s="59"/>
      <c r="M121" s="43"/>
      <c r="N121" s="43"/>
      <c r="O121" s="43"/>
      <c r="P121" s="16"/>
      <c r="Q121" s="60"/>
      <c r="R121" s="242" t="str">
        <f t="shared" si="3"/>
        <v/>
      </c>
      <c r="S121" s="243" t="str">
        <f t="shared" si="4"/>
        <v>-</v>
      </c>
      <c r="T121" s="61"/>
      <c r="U121" s="61"/>
      <c r="V121" s="61"/>
      <c r="W121" s="61"/>
      <c r="X121" s="61"/>
    </row>
    <row r="122" spans="1:80" s="62" customFormat="1" ht="35.1" customHeight="1">
      <c r="A122" s="92"/>
      <c r="B122" s="162"/>
      <c r="C122" s="162"/>
      <c r="D122" s="162"/>
      <c r="E122" s="96"/>
      <c r="F122" s="93"/>
      <c r="G122" s="93"/>
      <c r="H122" s="93"/>
      <c r="I122" s="93"/>
      <c r="J122" s="93"/>
      <c r="K122" s="93"/>
      <c r="L122" s="93"/>
      <c r="M122" s="94"/>
      <c r="N122" s="94"/>
      <c r="O122" s="94"/>
      <c r="P122" s="95"/>
      <c r="Q122" s="60"/>
      <c r="R122" s="242" t="str">
        <f t="shared" si="3"/>
        <v/>
      </c>
      <c r="S122" s="243" t="str">
        <f t="shared" si="4"/>
        <v>-</v>
      </c>
      <c r="T122" s="61"/>
      <c r="U122" s="61"/>
      <c r="V122" s="61"/>
      <c r="W122" s="61"/>
      <c r="X122" s="61"/>
    </row>
    <row r="123" spans="1:80" s="62" customFormat="1" ht="35.1" customHeight="1">
      <c r="A123" s="63"/>
      <c r="B123" s="163"/>
      <c r="C123" s="163"/>
      <c r="D123" s="163"/>
      <c r="E123" s="83"/>
      <c r="F123" s="65"/>
      <c r="G123" s="65"/>
      <c r="H123" s="65"/>
      <c r="I123" s="65"/>
      <c r="J123" s="65"/>
      <c r="K123" s="65"/>
      <c r="L123" s="65"/>
      <c r="M123" s="44"/>
      <c r="N123" s="44">
        <v>0</v>
      </c>
      <c r="O123" s="44">
        <v>0</v>
      </c>
      <c r="P123" s="17"/>
      <c r="Q123" s="60"/>
      <c r="R123" s="242" t="str">
        <f t="shared" si="3"/>
        <v/>
      </c>
      <c r="S123" s="243" t="str">
        <f t="shared" si="4"/>
        <v>-</v>
      </c>
      <c r="T123" s="61"/>
      <c r="U123" s="61"/>
      <c r="V123" s="61"/>
      <c r="W123" s="61"/>
      <c r="X123" s="61"/>
    </row>
    <row r="124" spans="1:80" s="62" customFormat="1" ht="35.1" customHeight="1">
      <c r="A124" s="63"/>
      <c r="B124" s="163"/>
      <c r="C124" s="163"/>
      <c r="D124" s="163"/>
      <c r="E124" s="84"/>
      <c r="F124" s="65"/>
      <c r="G124" s="65"/>
      <c r="H124" s="65"/>
      <c r="I124" s="65"/>
      <c r="J124" s="65"/>
      <c r="K124" s="65"/>
      <c r="L124" s="65"/>
      <c r="M124" s="44"/>
      <c r="N124" s="44">
        <v>0</v>
      </c>
      <c r="O124" s="44">
        <v>0</v>
      </c>
      <c r="P124" s="17"/>
      <c r="Q124" s="60"/>
      <c r="R124" s="242" t="str">
        <f t="shared" si="3"/>
        <v/>
      </c>
      <c r="S124" s="243" t="str">
        <f t="shared" si="4"/>
        <v>-</v>
      </c>
      <c r="T124" s="61"/>
      <c r="U124" s="61"/>
      <c r="V124" s="61"/>
      <c r="W124" s="61"/>
      <c r="X124" s="61"/>
    </row>
    <row r="125" spans="1:80" s="62" customFormat="1" ht="35.1" customHeight="1">
      <c r="A125" s="63"/>
      <c r="B125" s="163"/>
      <c r="C125" s="163"/>
      <c r="D125" s="163"/>
      <c r="E125" s="89"/>
      <c r="F125" s="65"/>
      <c r="G125" s="65"/>
      <c r="H125" s="65"/>
      <c r="I125" s="65"/>
      <c r="J125" s="65"/>
      <c r="K125" s="65"/>
      <c r="L125" s="65"/>
      <c r="M125" s="44"/>
      <c r="N125" s="44">
        <v>0</v>
      </c>
      <c r="O125" s="44">
        <v>0</v>
      </c>
      <c r="P125" s="17"/>
      <c r="Q125" s="60"/>
      <c r="R125" s="242" t="str">
        <f t="shared" si="3"/>
        <v/>
      </c>
      <c r="S125" s="243" t="str">
        <f t="shared" si="4"/>
        <v>-</v>
      </c>
      <c r="T125" s="61"/>
      <c r="U125" s="61"/>
      <c r="V125" s="61"/>
      <c r="W125" s="61"/>
      <c r="X125" s="61"/>
    </row>
    <row r="126" spans="1:80" s="62" customFormat="1" ht="35.1" customHeight="1">
      <c r="A126" s="63"/>
      <c r="B126" s="163"/>
      <c r="C126" s="163"/>
      <c r="D126" s="163"/>
      <c r="E126" s="89"/>
      <c r="F126" s="65"/>
      <c r="G126" s="65"/>
      <c r="H126" s="65"/>
      <c r="I126" s="65"/>
      <c r="J126" s="65"/>
      <c r="K126" s="65"/>
      <c r="L126" s="65"/>
      <c r="M126" s="44"/>
      <c r="N126" s="44">
        <v>0</v>
      </c>
      <c r="O126" s="44">
        <v>0</v>
      </c>
      <c r="P126" s="17"/>
      <c r="Q126" s="60"/>
      <c r="R126" s="242" t="str">
        <f t="shared" si="3"/>
        <v/>
      </c>
      <c r="S126" s="243" t="str">
        <f t="shared" si="4"/>
        <v>-</v>
      </c>
      <c r="T126" s="61"/>
      <c r="U126" s="61"/>
      <c r="V126" s="61"/>
      <c r="W126" s="61"/>
      <c r="X126" s="61"/>
    </row>
    <row r="127" spans="1:80" s="62" customFormat="1" ht="35.1" customHeight="1">
      <c r="A127" s="63"/>
      <c r="B127" s="163"/>
      <c r="C127" s="163"/>
      <c r="D127" s="163"/>
      <c r="E127" s="89"/>
      <c r="F127" s="65"/>
      <c r="G127" s="65"/>
      <c r="H127" s="65"/>
      <c r="I127" s="65"/>
      <c r="J127" s="65"/>
      <c r="K127" s="65"/>
      <c r="L127" s="65"/>
      <c r="M127" s="44"/>
      <c r="N127" s="44">
        <v>0</v>
      </c>
      <c r="O127" s="44">
        <v>0</v>
      </c>
      <c r="P127" s="17"/>
      <c r="Q127" s="60"/>
      <c r="R127" s="242" t="str">
        <f t="shared" si="3"/>
        <v/>
      </c>
      <c r="S127" s="243" t="str">
        <f t="shared" si="4"/>
        <v>-</v>
      </c>
      <c r="T127" s="61"/>
      <c r="U127" s="61"/>
      <c r="V127" s="61"/>
      <c r="W127" s="61"/>
      <c r="X127" s="61"/>
    </row>
    <row r="128" spans="1:80" s="62" customFormat="1" ht="35.1" customHeight="1">
      <c r="A128" s="63"/>
      <c r="B128" s="163"/>
      <c r="C128" s="163"/>
      <c r="D128" s="163"/>
      <c r="E128" s="89"/>
      <c r="F128" s="65"/>
      <c r="G128" s="65"/>
      <c r="H128" s="65"/>
      <c r="I128" s="65"/>
      <c r="J128" s="65"/>
      <c r="K128" s="65"/>
      <c r="L128" s="65"/>
      <c r="M128" s="44"/>
      <c r="N128" s="44"/>
      <c r="O128" s="44"/>
      <c r="P128" s="17"/>
      <c r="Q128" s="60"/>
      <c r="R128" s="242" t="str">
        <f t="shared" si="3"/>
        <v/>
      </c>
      <c r="S128" s="243" t="str">
        <f t="shared" si="4"/>
        <v>-</v>
      </c>
      <c r="T128" s="61"/>
      <c r="U128" s="61"/>
      <c r="V128" s="61"/>
      <c r="W128" s="61"/>
      <c r="X128" s="61"/>
    </row>
    <row r="129" spans="1:80" s="62" customFormat="1" ht="35.1" customHeight="1">
      <c r="A129" s="63"/>
      <c r="B129" s="163"/>
      <c r="C129" s="163"/>
      <c r="D129" s="163"/>
      <c r="E129" s="89"/>
      <c r="F129" s="65"/>
      <c r="G129" s="65"/>
      <c r="H129" s="65"/>
      <c r="I129" s="65"/>
      <c r="J129" s="65"/>
      <c r="K129" s="65"/>
      <c r="L129" s="65"/>
      <c r="M129" s="44"/>
      <c r="N129" s="44">
        <v>0</v>
      </c>
      <c r="O129" s="44">
        <v>0</v>
      </c>
      <c r="P129" s="17"/>
      <c r="Q129" s="60"/>
      <c r="R129" s="242" t="str">
        <f t="shared" si="3"/>
        <v/>
      </c>
      <c r="S129" s="243" t="str">
        <f t="shared" si="4"/>
        <v>-</v>
      </c>
      <c r="T129" s="61"/>
      <c r="U129" s="61"/>
      <c r="V129" s="61"/>
      <c r="W129" s="61"/>
      <c r="X129" s="61"/>
    </row>
    <row r="130" spans="1:80" s="62" customFormat="1" ht="35.1" customHeight="1">
      <c r="A130" s="63"/>
      <c r="B130" s="163"/>
      <c r="C130" s="163"/>
      <c r="D130" s="163"/>
      <c r="E130" s="89"/>
      <c r="F130" s="65"/>
      <c r="G130" s="65"/>
      <c r="H130" s="65"/>
      <c r="I130" s="65"/>
      <c r="J130" s="65"/>
      <c r="K130" s="65"/>
      <c r="L130" s="65"/>
      <c r="M130" s="44"/>
      <c r="N130" s="44">
        <v>0</v>
      </c>
      <c r="O130" s="44">
        <v>0</v>
      </c>
      <c r="P130" s="17"/>
      <c r="Q130" s="60"/>
      <c r="R130" s="242" t="str">
        <f t="shared" si="3"/>
        <v/>
      </c>
      <c r="S130" s="243" t="str">
        <f t="shared" si="4"/>
        <v>-</v>
      </c>
      <c r="T130" s="61"/>
      <c r="U130" s="61"/>
      <c r="V130" s="61"/>
      <c r="W130" s="61"/>
      <c r="X130" s="61"/>
    </row>
    <row r="131" spans="1:80" s="62" customFormat="1" ht="35.1" customHeight="1">
      <c r="A131" s="63"/>
      <c r="B131" s="163"/>
      <c r="C131" s="163"/>
      <c r="D131" s="163"/>
      <c r="E131" s="89"/>
      <c r="F131" s="65"/>
      <c r="G131" s="65"/>
      <c r="H131" s="65"/>
      <c r="I131" s="65"/>
      <c r="J131" s="65"/>
      <c r="K131" s="65"/>
      <c r="L131" s="65"/>
      <c r="M131" s="44"/>
      <c r="N131" s="44">
        <v>0</v>
      </c>
      <c r="O131" s="44">
        <v>0</v>
      </c>
      <c r="P131" s="17"/>
      <c r="Q131" s="60"/>
      <c r="R131" s="242" t="str">
        <f t="shared" si="3"/>
        <v/>
      </c>
      <c r="S131" s="243" t="str">
        <f t="shared" si="4"/>
        <v>-</v>
      </c>
      <c r="T131" s="61"/>
      <c r="U131" s="61"/>
      <c r="V131" s="61"/>
      <c r="W131" s="61"/>
      <c r="X131" s="61"/>
    </row>
    <row r="132" spans="1:80" s="62" customFormat="1" ht="35.1" customHeight="1">
      <c r="A132" s="63"/>
      <c r="B132" s="163"/>
      <c r="C132" s="163"/>
      <c r="D132" s="163"/>
      <c r="E132" s="64"/>
      <c r="F132" s="65"/>
      <c r="G132" s="65"/>
      <c r="H132" s="65"/>
      <c r="I132" s="65"/>
      <c r="J132" s="65"/>
      <c r="K132" s="65"/>
      <c r="L132" s="65"/>
      <c r="M132" s="44"/>
      <c r="N132" s="44"/>
      <c r="O132" s="44"/>
      <c r="P132" s="17"/>
      <c r="Q132" s="60"/>
      <c r="R132" s="242" t="str">
        <f t="shared" si="3"/>
        <v/>
      </c>
      <c r="S132" s="243" t="str">
        <f t="shared" si="4"/>
        <v>-</v>
      </c>
      <c r="T132" s="61"/>
      <c r="U132" s="61"/>
      <c r="V132" s="61"/>
      <c r="W132" s="61"/>
      <c r="X132" s="61"/>
    </row>
    <row r="133" spans="1:80" s="62" customFormat="1" ht="35.1" customHeight="1">
      <c r="A133" s="63"/>
      <c r="B133" s="163"/>
      <c r="C133" s="163"/>
      <c r="D133" s="163"/>
      <c r="E133" s="64"/>
      <c r="F133" s="65"/>
      <c r="G133" s="65"/>
      <c r="H133" s="65"/>
      <c r="I133" s="65"/>
      <c r="J133" s="65"/>
      <c r="K133" s="65"/>
      <c r="L133" s="65"/>
      <c r="M133" s="44"/>
      <c r="N133" s="44"/>
      <c r="O133" s="44"/>
      <c r="P133" s="17"/>
      <c r="Q133" s="60"/>
      <c r="R133" s="242" t="str">
        <f t="shared" si="3"/>
        <v/>
      </c>
      <c r="S133" s="243" t="str">
        <f t="shared" si="4"/>
        <v>-</v>
      </c>
      <c r="T133" s="61"/>
      <c r="U133" s="61"/>
      <c r="V133" s="61"/>
      <c r="W133" s="61"/>
      <c r="X133" s="61"/>
    </row>
    <row r="134" spans="1:80" s="62" customFormat="1" ht="35.1" customHeight="1">
      <c r="A134" s="63"/>
      <c r="B134" s="163"/>
      <c r="C134" s="163"/>
      <c r="D134" s="163"/>
      <c r="E134" s="64"/>
      <c r="F134" s="65"/>
      <c r="G134" s="65"/>
      <c r="H134" s="65"/>
      <c r="I134" s="65"/>
      <c r="J134" s="65"/>
      <c r="K134" s="65"/>
      <c r="L134" s="65"/>
      <c r="M134" s="44"/>
      <c r="N134" s="44"/>
      <c r="O134" s="44"/>
      <c r="P134" s="17"/>
      <c r="Q134" s="60"/>
      <c r="R134" s="242" t="str">
        <f t="shared" si="3"/>
        <v/>
      </c>
      <c r="S134" s="243" t="str">
        <f t="shared" si="4"/>
        <v>-</v>
      </c>
      <c r="T134" s="61"/>
      <c r="U134" s="61"/>
      <c r="V134" s="61"/>
      <c r="W134" s="61"/>
      <c r="X134" s="61"/>
    </row>
    <row r="135" spans="1:80" s="62" customFormat="1" ht="35.1" customHeight="1">
      <c r="A135" s="63"/>
      <c r="B135" s="163"/>
      <c r="C135" s="163"/>
      <c r="D135" s="163"/>
      <c r="E135" s="64"/>
      <c r="F135" s="65"/>
      <c r="G135" s="65"/>
      <c r="H135" s="65"/>
      <c r="I135" s="65"/>
      <c r="J135" s="65"/>
      <c r="K135" s="65"/>
      <c r="L135" s="65"/>
      <c r="M135" s="44"/>
      <c r="N135" s="44"/>
      <c r="O135" s="44"/>
      <c r="P135" s="17"/>
      <c r="Q135" s="60"/>
      <c r="R135" s="242" t="str">
        <f t="shared" ref="R135:R198" si="5">CONCATENATE(F135,J135)</f>
        <v/>
      </c>
      <c r="S135" s="243" t="str">
        <f t="shared" ref="S135:S198" si="6">IF(G135&gt;=I135,"-","err")</f>
        <v>-</v>
      </c>
      <c r="T135" s="61"/>
      <c r="U135" s="61"/>
      <c r="V135" s="61"/>
      <c r="W135" s="61"/>
      <c r="X135" s="61"/>
    </row>
    <row r="136" spans="1:80" s="62" customFormat="1" ht="35.1" customHeight="1">
      <c r="A136" s="63"/>
      <c r="B136" s="163"/>
      <c r="C136" s="163"/>
      <c r="D136" s="163"/>
      <c r="E136" s="64"/>
      <c r="F136" s="65"/>
      <c r="G136" s="65"/>
      <c r="H136" s="65"/>
      <c r="I136" s="65"/>
      <c r="J136" s="65"/>
      <c r="K136" s="65"/>
      <c r="L136" s="65"/>
      <c r="M136" s="44"/>
      <c r="N136" s="44"/>
      <c r="O136" s="44"/>
      <c r="P136" s="17"/>
      <c r="Q136" s="60"/>
      <c r="R136" s="242" t="str">
        <f t="shared" si="5"/>
        <v/>
      </c>
      <c r="S136" s="243" t="str">
        <f t="shared" si="6"/>
        <v>-</v>
      </c>
      <c r="T136" s="61"/>
      <c r="U136" s="61"/>
      <c r="V136" s="61"/>
      <c r="W136" s="61"/>
      <c r="X136" s="61"/>
    </row>
    <row r="137" spans="1:80" s="62" customFormat="1" ht="35.1" customHeight="1">
      <c r="A137" s="63"/>
      <c r="B137" s="163"/>
      <c r="C137" s="163"/>
      <c r="D137" s="163"/>
      <c r="E137" s="64"/>
      <c r="F137" s="65"/>
      <c r="G137" s="65"/>
      <c r="H137" s="65"/>
      <c r="I137" s="65"/>
      <c r="J137" s="65"/>
      <c r="K137" s="65"/>
      <c r="L137" s="65"/>
      <c r="M137" s="44"/>
      <c r="N137" s="44"/>
      <c r="O137" s="44"/>
      <c r="P137" s="17"/>
      <c r="Q137" s="60"/>
      <c r="R137" s="242" t="str">
        <f t="shared" si="5"/>
        <v/>
      </c>
      <c r="S137" s="243" t="str">
        <f t="shared" si="6"/>
        <v>-</v>
      </c>
      <c r="T137" s="61"/>
      <c r="U137" s="61"/>
      <c r="V137" s="61"/>
      <c r="W137" s="61"/>
      <c r="X137" s="61"/>
    </row>
    <row r="138" spans="1:80" s="62" customFormat="1" ht="35.1" customHeight="1">
      <c r="A138" s="63"/>
      <c r="B138" s="163"/>
      <c r="C138" s="163"/>
      <c r="D138" s="163"/>
      <c r="E138" s="64"/>
      <c r="F138" s="65"/>
      <c r="G138" s="65"/>
      <c r="H138" s="65"/>
      <c r="I138" s="65"/>
      <c r="J138" s="65"/>
      <c r="K138" s="65"/>
      <c r="L138" s="65"/>
      <c r="M138" s="44"/>
      <c r="N138" s="44"/>
      <c r="O138" s="44"/>
      <c r="P138" s="17"/>
      <c r="Q138" s="60"/>
      <c r="R138" s="242" t="str">
        <f t="shared" si="5"/>
        <v/>
      </c>
      <c r="S138" s="243" t="str">
        <f t="shared" si="6"/>
        <v>-</v>
      </c>
      <c r="T138" s="61"/>
      <c r="U138" s="61"/>
      <c r="V138" s="61"/>
      <c r="W138" s="61"/>
      <c r="X138" s="61"/>
    </row>
    <row r="139" spans="1:80" s="62" customFormat="1" ht="35.1" customHeight="1">
      <c r="A139" s="63"/>
      <c r="B139" s="163"/>
      <c r="C139" s="163"/>
      <c r="D139" s="163"/>
      <c r="E139" s="64"/>
      <c r="F139" s="65"/>
      <c r="G139" s="65"/>
      <c r="H139" s="65"/>
      <c r="I139" s="65"/>
      <c r="J139" s="65"/>
      <c r="K139" s="65"/>
      <c r="L139" s="65"/>
      <c r="M139" s="44"/>
      <c r="N139" s="44"/>
      <c r="O139" s="44"/>
      <c r="P139" s="17"/>
      <c r="Q139" s="60"/>
      <c r="R139" s="242" t="str">
        <f t="shared" si="5"/>
        <v/>
      </c>
      <c r="S139" s="243" t="str">
        <f t="shared" si="6"/>
        <v>-</v>
      </c>
      <c r="T139" s="61"/>
      <c r="U139" s="61"/>
      <c r="V139" s="61"/>
      <c r="W139" s="61"/>
      <c r="X139" s="61"/>
    </row>
    <row r="140" spans="1:80" s="62" customFormat="1" ht="35.1" customHeight="1">
      <c r="A140" s="63"/>
      <c r="B140" s="163"/>
      <c r="C140" s="163"/>
      <c r="D140" s="163"/>
      <c r="E140" s="64"/>
      <c r="F140" s="65"/>
      <c r="G140" s="65"/>
      <c r="H140" s="65"/>
      <c r="I140" s="65"/>
      <c r="J140" s="65"/>
      <c r="K140" s="65"/>
      <c r="L140" s="65"/>
      <c r="M140" s="44"/>
      <c r="N140" s="44"/>
      <c r="O140" s="44"/>
      <c r="P140" s="17"/>
      <c r="Q140" s="60"/>
      <c r="R140" s="242" t="str">
        <f t="shared" si="5"/>
        <v/>
      </c>
      <c r="S140" s="243" t="str">
        <f t="shared" si="6"/>
        <v>-</v>
      </c>
      <c r="T140" s="61"/>
      <c r="U140" s="61"/>
      <c r="V140" s="61"/>
      <c r="W140" s="61"/>
      <c r="X140" s="61"/>
    </row>
    <row r="141" spans="1:80" s="73" customFormat="1" ht="35.1" customHeight="1">
      <c r="A141" s="66" t="s">
        <v>41</v>
      </c>
      <c r="B141" s="67"/>
      <c r="C141" s="67"/>
      <c r="D141" s="67"/>
      <c r="E141" s="67"/>
      <c r="F141" s="68"/>
      <c r="G141" s="69"/>
      <c r="H141" s="69"/>
      <c r="I141" s="69">
        <f>SUM(I121:I140)</f>
        <v>0</v>
      </c>
      <c r="J141" s="70"/>
      <c r="K141" s="70"/>
      <c r="L141" s="70"/>
      <c r="M141" s="70"/>
      <c r="N141" s="70"/>
      <c r="O141" s="70"/>
      <c r="P141" s="71"/>
      <c r="Q141" s="60"/>
      <c r="R141" s="242" t="str">
        <f t="shared" si="5"/>
        <v/>
      </c>
      <c r="S141" s="243" t="str">
        <f t="shared" si="6"/>
        <v>-</v>
      </c>
      <c r="T141" s="61"/>
      <c r="U141" s="61"/>
      <c r="V141" s="61"/>
      <c r="W141" s="61"/>
      <c r="X141" s="61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  <c r="BZ141" s="72"/>
      <c r="CA141" s="72"/>
      <c r="CB141" s="72"/>
    </row>
    <row r="142" spans="1:80" s="62" customFormat="1" ht="35.1" customHeight="1">
      <c r="A142" s="58"/>
      <c r="B142" s="161"/>
      <c r="C142" s="161"/>
      <c r="D142" s="161"/>
      <c r="E142" s="82"/>
      <c r="F142" s="59"/>
      <c r="G142" s="59"/>
      <c r="H142" s="59"/>
      <c r="I142" s="59"/>
      <c r="J142" s="59"/>
      <c r="K142" s="59"/>
      <c r="L142" s="59"/>
      <c r="M142" s="43"/>
      <c r="N142" s="43"/>
      <c r="O142" s="43"/>
      <c r="P142" s="16"/>
      <c r="Q142" s="60"/>
      <c r="R142" s="242" t="str">
        <f t="shared" si="5"/>
        <v/>
      </c>
      <c r="S142" s="243" t="str">
        <f t="shared" si="6"/>
        <v>-</v>
      </c>
      <c r="T142" s="61"/>
      <c r="U142" s="61"/>
      <c r="V142" s="61"/>
      <c r="W142" s="61"/>
      <c r="X142" s="61"/>
    </row>
    <row r="143" spans="1:80" s="62" customFormat="1" ht="35.1" customHeight="1">
      <c r="A143" s="92"/>
      <c r="B143" s="162"/>
      <c r="C143" s="162"/>
      <c r="D143" s="162"/>
      <c r="E143" s="96"/>
      <c r="F143" s="93"/>
      <c r="G143" s="93"/>
      <c r="H143" s="93"/>
      <c r="I143" s="93"/>
      <c r="J143" s="93"/>
      <c r="K143" s="93"/>
      <c r="L143" s="93"/>
      <c r="M143" s="94"/>
      <c r="N143" s="94"/>
      <c r="O143" s="94"/>
      <c r="P143" s="95"/>
      <c r="Q143" s="60"/>
      <c r="R143" s="242" t="str">
        <f t="shared" si="5"/>
        <v/>
      </c>
      <c r="S143" s="243" t="str">
        <f t="shared" si="6"/>
        <v>-</v>
      </c>
      <c r="T143" s="61"/>
      <c r="U143" s="61"/>
      <c r="V143" s="61"/>
      <c r="W143" s="61"/>
      <c r="X143" s="61"/>
    </row>
    <row r="144" spans="1:80" s="62" customFormat="1" ht="35.1" customHeight="1">
      <c r="A144" s="63"/>
      <c r="B144" s="163"/>
      <c r="C144" s="163"/>
      <c r="D144" s="163"/>
      <c r="E144" s="83"/>
      <c r="F144" s="65"/>
      <c r="G144" s="65"/>
      <c r="H144" s="65"/>
      <c r="I144" s="65"/>
      <c r="J144" s="65"/>
      <c r="K144" s="65"/>
      <c r="L144" s="65"/>
      <c r="M144" s="44">
        <v>0</v>
      </c>
      <c r="N144" s="44">
        <v>0</v>
      </c>
      <c r="O144" s="44">
        <v>0</v>
      </c>
      <c r="P144" s="17"/>
      <c r="Q144" s="60"/>
      <c r="R144" s="242" t="str">
        <f t="shared" si="5"/>
        <v/>
      </c>
      <c r="S144" s="243" t="str">
        <f t="shared" si="6"/>
        <v>-</v>
      </c>
      <c r="T144" s="61"/>
      <c r="U144" s="61"/>
      <c r="V144" s="61"/>
      <c r="W144" s="61"/>
      <c r="X144" s="61"/>
    </row>
    <row r="145" spans="1:24" s="62" customFormat="1" ht="35.1" customHeight="1">
      <c r="A145" s="63"/>
      <c r="B145" s="163"/>
      <c r="C145" s="163"/>
      <c r="D145" s="163"/>
      <c r="E145" s="84"/>
      <c r="F145" s="65"/>
      <c r="G145" s="65"/>
      <c r="H145" s="65"/>
      <c r="I145" s="65"/>
      <c r="J145" s="65"/>
      <c r="K145" s="65"/>
      <c r="L145" s="65"/>
      <c r="M145" s="44">
        <v>0</v>
      </c>
      <c r="N145" s="44">
        <v>0</v>
      </c>
      <c r="O145" s="44">
        <v>0</v>
      </c>
      <c r="P145" s="17"/>
      <c r="Q145" s="60"/>
      <c r="R145" s="242" t="str">
        <f t="shared" si="5"/>
        <v/>
      </c>
      <c r="S145" s="243" t="str">
        <f t="shared" si="6"/>
        <v>-</v>
      </c>
      <c r="T145" s="61"/>
      <c r="U145" s="61"/>
      <c r="V145" s="61"/>
      <c r="W145" s="61"/>
      <c r="X145" s="61"/>
    </row>
    <row r="146" spans="1:24" s="62" customFormat="1" ht="35.1" customHeight="1">
      <c r="A146" s="63"/>
      <c r="B146" s="163"/>
      <c r="C146" s="163"/>
      <c r="D146" s="163"/>
      <c r="E146" s="89"/>
      <c r="F146" s="65"/>
      <c r="G146" s="65"/>
      <c r="H146" s="65"/>
      <c r="I146" s="65"/>
      <c r="J146" s="65"/>
      <c r="K146" s="65"/>
      <c r="L146" s="65"/>
      <c r="M146" s="44">
        <v>0</v>
      </c>
      <c r="N146" s="44">
        <v>0</v>
      </c>
      <c r="O146" s="44">
        <v>0</v>
      </c>
      <c r="P146" s="17"/>
      <c r="Q146" s="60"/>
      <c r="R146" s="242" t="str">
        <f t="shared" si="5"/>
        <v/>
      </c>
      <c r="S146" s="243" t="str">
        <f t="shared" si="6"/>
        <v>-</v>
      </c>
      <c r="T146" s="61"/>
      <c r="U146" s="61"/>
      <c r="V146" s="61"/>
      <c r="W146" s="61"/>
      <c r="X146" s="61"/>
    </row>
    <row r="147" spans="1:24" s="62" customFormat="1" ht="35.1" customHeight="1">
      <c r="A147" s="63"/>
      <c r="B147" s="163"/>
      <c r="C147" s="163"/>
      <c r="D147" s="163"/>
      <c r="E147" s="89"/>
      <c r="F147" s="65"/>
      <c r="G147" s="65"/>
      <c r="H147" s="65"/>
      <c r="I147" s="65"/>
      <c r="J147" s="65"/>
      <c r="K147" s="65"/>
      <c r="L147" s="65"/>
      <c r="M147" s="44">
        <v>0</v>
      </c>
      <c r="N147" s="44">
        <v>0</v>
      </c>
      <c r="O147" s="44">
        <v>0</v>
      </c>
      <c r="P147" s="17"/>
      <c r="Q147" s="60"/>
      <c r="R147" s="242" t="str">
        <f t="shared" si="5"/>
        <v/>
      </c>
      <c r="S147" s="243" t="str">
        <f t="shared" si="6"/>
        <v>-</v>
      </c>
      <c r="T147" s="61"/>
      <c r="U147" s="61"/>
      <c r="V147" s="61"/>
      <c r="W147" s="61"/>
      <c r="X147" s="61"/>
    </row>
    <row r="148" spans="1:24" s="62" customFormat="1" ht="35.1" customHeight="1">
      <c r="A148" s="63"/>
      <c r="B148" s="163"/>
      <c r="C148" s="163"/>
      <c r="D148" s="163"/>
      <c r="E148" s="89"/>
      <c r="F148" s="65"/>
      <c r="G148" s="65"/>
      <c r="H148" s="65"/>
      <c r="I148" s="65"/>
      <c r="J148" s="65"/>
      <c r="K148" s="65"/>
      <c r="L148" s="65"/>
      <c r="M148" s="44"/>
      <c r="N148" s="44"/>
      <c r="O148" s="44"/>
      <c r="P148" s="17"/>
      <c r="Q148" s="60"/>
      <c r="R148" s="242" t="str">
        <f t="shared" si="5"/>
        <v/>
      </c>
      <c r="S148" s="243" t="str">
        <f t="shared" si="6"/>
        <v>-</v>
      </c>
      <c r="T148" s="61"/>
      <c r="U148" s="61"/>
      <c r="V148" s="61"/>
      <c r="W148" s="61"/>
      <c r="X148" s="61"/>
    </row>
    <row r="149" spans="1:24" s="62" customFormat="1" ht="35.1" customHeight="1">
      <c r="A149" s="63"/>
      <c r="B149" s="163"/>
      <c r="C149" s="163"/>
      <c r="D149" s="163"/>
      <c r="E149" s="89"/>
      <c r="F149" s="65"/>
      <c r="G149" s="65"/>
      <c r="H149" s="65"/>
      <c r="I149" s="65"/>
      <c r="J149" s="65"/>
      <c r="K149" s="65"/>
      <c r="L149" s="65"/>
      <c r="M149" s="44"/>
      <c r="N149" s="44"/>
      <c r="O149" s="44"/>
      <c r="P149" s="17"/>
      <c r="Q149" s="60"/>
      <c r="R149" s="242" t="str">
        <f t="shared" si="5"/>
        <v/>
      </c>
      <c r="S149" s="243" t="str">
        <f t="shared" si="6"/>
        <v>-</v>
      </c>
      <c r="T149" s="61"/>
      <c r="U149" s="61"/>
      <c r="V149" s="61"/>
      <c r="W149" s="61"/>
      <c r="X149" s="61"/>
    </row>
    <row r="150" spans="1:24" s="62" customFormat="1" ht="35.1" customHeight="1">
      <c r="A150" s="63"/>
      <c r="B150" s="163"/>
      <c r="C150" s="163"/>
      <c r="D150" s="163"/>
      <c r="E150" s="89"/>
      <c r="F150" s="65"/>
      <c r="G150" s="65"/>
      <c r="H150" s="65"/>
      <c r="I150" s="65"/>
      <c r="J150" s="65"/>
      <c r="K150" s="65"/>
      <c r="L150" s="65"/>
      <c r="M150" s="44"/>
      <c r="N150" s="44"/>
      <c r="O150" s="44"/>
      <c r="P150" s="17"/>
      <c r="Q150" s="60"/>
      <c r="R150" s="242" t="str">
        <f t="shared" si="5"/>
        <v/>
      </c>
      <c r="S150" s="243" t="str">
        <f t="shared" si="6"/>
        <v>-</v>
      </c>
      <c r="T150" s="61"/>
      <c r="U150" s="61"/>
      <c r="V150" s="61"/>
      <c r="W150" s="61"/>
      <c r="X150" s="61"/>
    </row>
    <row r="151" spans="1:24" s="62" customFormat="1" ht="35.1" customHeight="1">
      <c r="A151" s="63"/>
      <c r="B151" s="163"/>
      <c r="C151" s="163"/>
      <c r="D151" s="163"/>
      <c r="E151" s="89"/>
      <c r="F151" s="65"/>
      <c r="G151" s="65"/>
      <c r="H151" s="65"/>
      <c r="I151" s="65"/>
      <c r="J151" s="65"/>
      <c r="K151" s="65"/>
      <c r="L151" s="65"/>
      <c r="M151" s="44">
        <v>0</v>
      </c>
      <c r="N151" s="44">
        <v>0</v>
      </c>
      <c r="O151" s="44">
        <v>0</v>
      </c>
      <c r="P151" s="17"/>
      <c r="Q151" s="60"/>
      <c r="R151" s="242" t="str">
        <f t="shared" si="5"/>
        <v/>
      </c>
      <c r="S151" s="243" t="str">
        <f t="shared" si="6"/>
        <v>-</v>
      </c>
      <c r="T151" s="61"/>
      <c r="U151" s="61"/>
      <c r="V151" s="61"/>
      <c r="W151" s="61"/>
      <c r="X151" s="61"/>
    </row>
    <row r="152" spans="1:24" s="62" customFormat="1" ht="35.1" customHeight="1">
      <c r="A152" s="63"/>
      <c r="B152" s="163"/>
      <c r="C152" s="163"/>
      <c r="D152" s="163"/>
      <c r="E152" s="89"/>
      <c r="F152" s="65"/>
      <c r="G152" s="65"/>
      <c r="H152" s="65"/>
      <c r="I152" s="65"/>
      <c r="J152" s="65"/>
      <c r="K152" s="65"/>
      <c r="L152" s="65"/>
      <c r="M152" s="44">
        <v>0</v>
      </c>
      <c r="N152" s="44">
        <v>0</v>
      </c>
      <c r="O152" s="44">
        <v>0</v>
      </c>
      <c r="P152" s="17"/>
      <c r="Q152" s="60"/>
      <c r="R152" s="242" t="str">
        <f t="shared" si="5"/>
        <v/>
      </c>
      <c r="S152" s="243" t="str">
        <f t="shared" si="6"/>
        <v>-</v>
      </c>
      <c r="T152" s="61"/>
      <c r="U152" s="61"/>
      <c r="V152" s="61"/>
      <c r="W152" s="61"/>
      <c r="X152" s="61"/>
    </row>
    <row r="153" spans="1:24" s="62" customFormat="1" ht="35.1" customHeight="1">
      <c r="A153" s="63"/>
      <c r="B153" s="163"/>
      <c r="C153" s="163"/>
      <c r="D153" s="163"/>
      <c r="E153" s="64"/>
      <c r="F153" s="65"/>
      <c r="G153" s="65"/>
      <c r="H153" s="65"/>
      <c r="I153" s="65"/>
      <c r="J153" s="65"/>
      <c r="K153" s="65"/>
      <c r="L153" s="65"/>
      <c r="M153" s="44"/>
      <c r="N153" s="44"/>
      <c r="O153" s="44"/>
      <c r="P153" s="17"/>
      <c r="Q153" s="60"/>
      <c r="R153" s="242" t="str">
        <f t="shared" si="5"/>
        <v/>
      </c>
      <c r="S153" s="243" t="str">
        <f t="shared" si="6"/>
        <v>-</v>
      </c>
      <c r="T153" s="61"/>
      <c r="U153" s="61"/>
      <c r="V153" s="61"/>
      <c r="W153" s="61"/>
      <c r="X153" s="61"/>
    </row>
    <row r="154" spans="1:24" s="62" customFormat="1" ht="35.1" customHeight="1">
      <c r="A154" s="63"/>
      <c r="B154" s="163"/>
      <c r="C154" s="163"/>
      <c r="D154" s="163"/>
      <c r="E154" s="64"/>
      <c r="F154" s="65"/>
      <c r="G154" s="65"/>
      <c r="H154" s="65"/>
      <c r="I154" s="65"/>
      <c r="J154" s="65"/>
      <c r="K154" s="65"/>
      <c r="L154" s="65"/>
      <c r="M154" s="44"/>
      <c r="N154" s="44"/>
      <c r="O154" s="44"/>
      <c r="P154" s="17"/>
      <c r="Q154" s="60"/>
      <c r="R154" s="242" t="str">
        <f t="shared" si="5"/>
        <v/>
      </c>
      <c r="S154" s="243" t="str">
        <f t="shared" si="6"/>
        <v>-</v>
      </c>
      <c r="T154" s="61"/>
      <c r="U154" s="61"/>
      <c r="V154" s="61"/>
      <c r="W154" s="61"/>
      <c r="X154" s="61"/>
    </row>
    <row r="155" spans="1:24" s="62" customFormat="1" ht="35.1" customHeight="1">
      <c r="A155" s="63"/>
      <c r="B155" s="163"/>
      <c r="C155" s="163"/>
      <c r="D155" s="163"/>
      <c r="E155" s="64"/>
      <c r="F155" s="65"/>
      <c r="G155" s="65"/>
      <c r="H155" s="65"/>
      <c r="I155" s="65"/>
      <c r="J155" s="65"/>
      <c r="K155" s="65"/>
      <c r="L155" s="65"/>
      <c r="M155" s="44"/>
      <c r="N155" s="44"/>
      <c r="O155" s="44"/>
      <c r="P155" s="17"/>
      <c r="Q155" s="60"/>
      <c r="R155" s="242" t="str">
        <f t="shared" si="5"/>
        <v/>
      </c>
      <c r="S155" s="243" t="str">
        <f t="shared" si="6"/>
        <v>-</v>
      </c>
      <c r="T155" s="61"/>
      <c r="U155" s="61"/>
      <c r="V155" s="61"/>
      <c r="W155" s="61"/>
      <c r="X155" s="61"/>
    </row>
    <row r="156" spans="1:24" s="62" customFormat="1" ht="35.1" customHeight="1">
      <c r="A156" s="63"/>
      <c r="B156" s="163"/>
      <c r="C156" s="163"/>
      <c r="D156" s="163"/>
      <c r="E156" s="64"/>
      <c r="F156" s="65"/>
      <c r="G156" s="65"/>
      <c r="H156" s="65"/>
      <c r="I156" s="65"/>
      <c r="J156" s="65"/>
      <c r="K156" s="65"/>
      <c r="L156" s="65"/>
      <c r="M156" s="44"/>
      <c r="N156" s="44"/>
      <c r="O156" s="44"/>
      <c r="P156" s="17"/>
      <c r="Q156" s="60"/>
      <c r="R156" s="242" t="str">
        <f t="shared" si="5"/>
        <v/>
      </c>
      <c r="S156" s="243" t="str">
        <f t="shared" si="6"/>
        <v>-</v>
      </c>
      <c r="T156" s="61"/>
      <c r="U156" s="61"/>
      <c r="V156" s="61"/>
      <c r="W156" s="61"/>
      <c r="X156" s="61"/>
    </row>
    <row r="157" spans="1:24" s="62" customFormat="1" ht="35.1" customHeight="1">
      <c r="A157" s="63"/>
      <c r="B157" s="163"/>
      <c r="C157" s="163"/>
      <c r="D157" s="163"/>
      <c r="E157" s="64"/>
      <c r="F157" s="65"/>
      <c r="G157" s="65"/>
      <c r="H157" s="65"/>
      <c r="I157" s="65"/>
      <c r="J157" s="65"/>
      <c r="K157" s="65"/>
      <c r="L157" s="65"/>
      <c r="M157" s="44"/>
      <c r="N157" s="44"/>
      <c r="O157" s="44"/>
      <c r="P157" s="17"/>
      <c r="Q157" s="60"/>
      <c r="R157" s="242" t="str">
        <f t="shared" si="5"/>
        <v/>
      </c>
      <c r="S157" s="243" t="str">
        <f t="shared" si="6"/>
        <v>-</v>
      </c>
      <c r="T157" s="61"/>
      <c r="U157" s="61"/>
      <c r="V157" s="61"/>
      <c r="W157" s="61"/>
      <c r="X157" s="61"/>
    </row>
    <row r="158" spans="1:24" s="62" customFormat="1" ht="35.1" customHeight="1">
      <c r="A158" s="63"/>
      <c r="B158" s="163"/>
      <c r="C158" s="163"/>
      <c r="D158" s="163"/>
      <c r="E158" s="64"/>
      <c r="F158" s="65"/>
      <c r="G158" s="65"/>
      <c r="H158" s="65"/>
      <c r="I158" s="65"/>
      <c r="J158" s="65"/>
      <c r="K158" s="65"/>
      <c r="L158" s="65"/>
      <c r="M158" s="44"/>
      <c r="N158" s="44"/>
      <c r="O158" s="44"/>
      <c r="P158" s="17"/>
      <c r="Q158" s="60"/>
      <c r="R158" s="242" t="str">
        <f t="shared" si="5"/>
        <v/>
      </c>
      <c r="S158" s="243" t="str">
        <f t="shared" si="6"/>
        <v>-</v>
      </c>
      <c r="T158" s="61"/>
      <c r="U158" s="61"/>
      <c r="V158" s="61"/>
      <c r="W158" s="61"/>
      <c r="X158" s="61"/>
    </row>
    <row r="159" spans="1:24" s="62" customFormat="1" ht="35.1" customHeight="1">
      <c r="A159" s="63"/>
      <c r="B159" s="163"/>
      <c r="C159" s="163"/>
      <c r="D159" s="163"/>
      <c r="E159" s="64"/>
      <c r="F159" s="65"/>
      <c r="G159" s="65"/>
      <c r="H159" s="65"/>
      <c r="I159" s="65"/>
      <c r="J159" s="65"/>
      <c r="K159" s="65"/>
      <c r="L159" s="65"/>
      <c r="M159" s="44"/>
      <c r="N159" s="44"/>
      <c r="O159" s="44"/>
      <c r="P159" s="17"/>
      <c r="Q159" s="60"/>
      <c r="R159" s="242" t="str">
        <f t="shared" si="5"/>
        <v/>
      </c>
      <c r="S159" s="243" t="str">
        <f t="shared" si="6"/>
        <v>-</v>
      </c>
      <c r="T159" s="61"/>
      <c r="U159" s="61"/>
      <c r="V159" s="61"/>
      <c r="W159" s="61"/>
      <c r="X159" s="61"/>
    </row>
    <row r="160" spans="1:24" s="62" customFormat="1" ht="35.1" customHeight="1">
      <c r="A160" s="63"/>
      <c r="B160" s="163"/>
      <c r="C160" s="163"/>
      <c r="D160" s="163"/>
      <c r="E160" s="64"/>
      <c r="F160" s="65"/>
      <c r="G160" s="65"/>
      <c r="H160" s="65"/>
      <c r="I160" s="65"/>
      <c r="J160" s="65"/>
      <c r="K160" s="65"/>
      <c r="L160" s="65"/>
      <c r="M160" s="44"/>
      <c r="N160" s="44"/>
      <c r="O160" s="44"/>
      <c r="P160" s="17"/>
      <c r="Q160" s="60"/>
      <c r="R160" s="242" t="str">
        <f t="shared" si="5"/>
        <v/>
      </c>
      <c r="S160" s="243" t="str">
        <f t="shared" si="6"/>
        <v>-</v>
      </c>
      <c r="T160" s="61"/>
      <c r="U160" s="61"/>
      <c r="V160" s="61"/>
      <c r="W160" s="61"/>
      <c r="X160" s="61"/>
    </row>
    <row r="161" spans="1:80" s="62" customFormat="1" ht="35.1" customHeight="1">
      <c r="A161" s="63"/>
      <c r="B161" s="163"/>
      <c r="C161" s="163"/>
      <c r="D161" s="163"/>
      <c r="E161" s="64"/>
      <c r="F161" s="65"/>
      <c r="G161" s="65"/>
      <c r="H161" s="65"/>
      <c r="I161" s="65"/>
      <c r="J161" s="65"/>
      <c r="K161" s="65"/>
      <c r="L161" s="65"/>
      <c r="M161" s="44"/>
      <c r="N161" s="44"/>
      <c r="O161" s="44"/>
      <c r="P161" s="17"/>
      <c r="Q161" s="60"/>
      <c r="R161" s="242" t="str">
        <f t="shared" si="5"/>
        <v/>
      </c>
      <c r="S161" s="243" t="str">
        <f t="shared" si="6"/>
        <v>-</v>
      </c>
      <c r="T161" s="61"/>
      <c r="U161" s="61"/>
      <c r="V161" s="61"/>
      <c r="W161" s="61"/>
      <c r="X161" s="61"/>
    </row>
    <row r="162" spans="1:80" s="73" customFormat="1" ht="35.1" customHeight="1">
      <c r="A162" s="66" t="s">
        <v>41</v>
      </c>
      <c r="B162" s="67"/>
      <c r="C162" s="67"/>
      <c r="D162" s="67"/>
      <c r="E162" s="67"/>
      <c r="F162" s="68"/>
      <c r="G162" s="69"/>
      <c r="H162" s="69"/>
      <c r="I162" s="69">
        <f>SUM(I142:I161)</f>
        <v>0</v>
      </c>
      <c r="J162" s="70"/>
      <c r="K162" s="70"/>
      <c r="L162" s="70"/>
      <c r="M162" s="70"/>
      <c r="N162" s="70"/>
      <c r="O162" s="70"/>
      <c r="P162" s="71"/>
      <c r="Q162" s="60"/>
      <c r="R162" s="242" t="str">
        <f t="shared" si="5"/>
        <v/>
      </c>
      <c r="S162" s="243" t="str">
        <f t="shared" si="6"/>
        <v>-</v>
      </c>
      <c r="T162" s="61"/>
      <c r="U162" s="61"/>
      <c r="V162" s="61"/>
      <c r="W162" s="61"/>
      <c r="X162" s="61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  <c r="BZ162" s="72"/>
      <c r="CA162" s="72"/>
      <c r="CB162" s="72"/>
    </row>
    <row r="163" spans="1:80" s="62" customFormat="1" ht="35.1" customHeight="1">
      <c r="A163" s="58"/>
      <c r="B163" s="161"/>
      <c r="C163" s="161"/>
      <c r="D163" s="161"/>
      <c r="E163" s="82"/>
      <c r="F163" s="59"/>
      <c r="G163" s="59"/>
      <c r="H163" s="59"/>
      <c r="I163" s="59"/>
      <c r="J163" s="59"/>
      <c r="K163" s="59"/>
      <c r="L163" s="59"/>
      <c r="M163" s="43"/>
      <c r="N163" s="43"/>
      <c r="O163" s="43"/>
      <c r="P163" s="16"/>
      <c r="Q163" s="60"/>
      <c r="R163" s="242" t="str">
        <f t="shared" si="5"/>
        <v/>
      </c>
      <c r="S163" s="243" t="str">
        <f t="shared" si="6"/>
        <v>-</v>
      </c>
      <c r="T163" s="61"/>
      <c r="U163" s="61"/>
      <c r="V163" s="61"/>
      <c r="W163" s="61"/>
      <c r="X163" s="61"/>
    </row>
    <row r="164" spans="1:80" s="62" customFormat="1" ht="35.1" customHeight="1">
      <c r="A164" s="92"/>
      <c r="B164" s="162"/>
      <c r="C164" s="162"/>
      <c r="D164" s="162"/>
      <c r="E164" s="96"/>
      <c r="F164" s="93"/>
      <c r="G164" s="93"/>
      <c r="H164" s="93"/>
      <c r="I164" s="93"/>
      <c r="J164" s="93"/>
      <c r="K164" s="93"/>
      <c r="L164" s="93"/>
      <c r="M164" s="94"/>
      <c r="N164" s="94"/>
      <c r="O164" s="94"/>
      <c r="P164" s="95"/>
      <c r="Q164" s="60"/>
      <c r="R164" s="242" t="str">
        <f t="shared" si="5"/>
        <v/>
      </c>
      <c r="S164" s="243" t="str">
        <f t="shared" si="6"/>
        <v>-</v>
      </c>
      <c r="T164" s="61"/>
      <c r="U164" s="61"/>
      <c r="V164" s="61"/>
      <c r="W164" s="61"/>
      <c r="X164" s="61"/>
    </row>
    <row r="165" spans="1:80" s="62" customFormat="1" ht="35.1" customHeight="1">
      <c r="A165" s="63"/>
      <c r="B165" s="163"/>
      <c r="C165" s="163"/>
      <c r="D165" s="163"/>
      <c r="E165" s="83"/>
      <c r="F165" s="65"/>
      <c r="G165" s="65"/>
      <c r="H165" s="65"/>
      <c r="I165" s="65"/>
      <c r="J165" s="65"/>
      <c r="K165" s="65"/>
      <c r="L165" s="65"/>
      <c r="M165" s="44"/>
      <c r="N165" s="44">
        <v>0</v>
      </c>
      <c r="O165" s="44">
        <v>0</v>
      </c>
      <c r="P165" s="17"/>
      <c r="Q165" s="60"/>
      <c r="R165" s="242" t="str">
        <f t="shared" si="5"/>
        <v/>
      </c>
      <c r="S165" s="243" t="str">
        <f t="shared" si="6"/>
        <v>-</v>
      </c>
      <c r="T165" s="61"/>
      <c r="U165" s="61"/>
      <c r="V165" s="61"/>
      <c r="W165" s="61"/>
      <c r="X165" s="61"/>
    </row>
    <row r="166" spans="1:80" s="62" customFormat="1" ht="35.1" customHeight="1">
      <c r="A166" s="63"/>
      <c r="B166" s="163"/>
      <c r="C166" s="163"/>
      <c r="D166" s="163"/>
      <c r="E166" s="84"/>
      <c r="F166" s="65"/>
      <c r="G166" s="65"/>
      <c r="H166" s="65"/>
      <c r="I166" s="65"/>
      <c r="J166" s="65"/>
      <c r="K166" s="65"/>
      <c r="L166" s="65"/>
      <c r="M166" s="44"/>
      <c r="N166" s="44">
        <v>0</v>
      </c>
      <c r="O166" s="44">
        <v>0</v>
      </c>
      <c r="P166" s="17"/>
      <c r="Q166" s="60"/>
      <c r="R166" s="242" t="str">
        <f t="shared" si="5"/>
        <v/>
      </c>
      <c r="S166" s="243" t="str">
        <f t="shared" si="6"/>
        <v>-</v>
      </c>
      <c r="T166" s="61"/>
      <c r="U166" s="61"/>
      <c r="V166" s="61"/>
      <c r="W166" s="61"/>
      <c r="X166" s="61"/>
    </row>
    <row r="167" spans="1:80" s="62" customFormat="1" ht="35.1" customHeight="1">
      <c r="A167" s="63"/>
      <c r="B167" s="163"/>
      <c r="C167" s="163"/>
      <c r="D167" s="163"/>
      <c r="E167" s="89"/>
      <c r="F167" s="65"/>
      <c r="G167" s="65"/>
      <c r="H167" s="65"/>
      <c r="I167" s="65"/>
      <c r="J167" s="65"/>
      <c r="K167" s="65"/>
      <c r="L167" s="65"/>
      <c r="M167" s="44"/>
      <c r="N167" s="44">
        <v>0</v>
      </c>
      <c r="O167" s="44">
        <v>0</v>
      </c>
      <c r="P167" s="17"/>
      <c r="Q167" s="60"/>
      <c r="R167" s="242" t="str">
        <f t="shared" si="5"/>
        <v/>
      </c>
      <c r="S167" s="243" t="str">
        <f t="shared" si="6"/>
        <v>-</v>
      </c>
      <c r="T167" s="61"/>
      <c r="U167" s="61"/>
      <c r="V167" s="61"/>
      <c r="W167" s="61"/>
      <c r="X167" s="61"/>
    </row>
    <row r="168" spans="1:80" s="62" customFormat="1" ht="35.1" customHeight="1">
      <c r="A168" s="63"/>
      <c r="B168" s="163"/>
      <c r="C168" s="163"/>
      <c r="D168" s="163"/>
      <c r="E168" s="89"/>
      <c r="F168" s="65"/>
      <c r="G168" s="65"/>
      <c r="H168" s="65"/>
      <c r="I168" s="65"/>
      <c r="J168" s="65"/>
      <c r="K168" s="65"/>
      <c r="L168" s="65"/>
      <c r="M168" s="44"/>
      <c r="N168" s="44">
        <v>0</v>
      </c>
      <c r="O168" s="44">
        <v>0</v>
      </c>
      <c r="P168" s="17"/>
      <c r="Q168" s="60"/>
      <c r="R168" s="242" t="str">
        <f t="shared" si="5"/>
        <v/>
      </c>
      <c r="S168" s="243" t="str">
        <f t="shared" si="6"/>
        <v>-</v>
      </c>
      <c r="T168" s="61"/>
      <c r="U168" s="61"/>
      <c r="V168" s="61"/>
      <c r="W168" s="61"/>
      <c r="X168" s="61"/>
    </row>
    <row r="169" spans="1:80" s="62" customFormat="1" ht="35.1" customHeight="1">
      <c r="A169" s="63"/>
      <c r="B169" s="163"/>
      <c r="C169" s="163"/>
      <c r="D169" s="163"/>
      <c r="E169" s="89"/>
      <c r="F169" s="65"/>
      <c r="G169" s="65"/>
      <c r="H169" s="65"/>
      <c r="I169" s="65"/>
      <c r="J169" s="65"/>
      <c r="K169" s="65"/>
      <c r="L169" s="65"/>
      <c r="M169" s="44"/>
      <c r="N169" s="44">
        <v>0</v>
      </c>
      <c r="O169" s="44">
        <v>0</v>
      </c>
      <c r="P169" s="17"/>
      <c r="Q169" s="60"/>
      <c r="R169" s="242" t="str">
        <f t="shared" si="5"/>
        <v/>
      </c>
      <c r="S169" s="243" t="str">
        <f t="shared" si="6"/>
        <v>-</v>
      </c>
      <c r="T169" s="61"/>
      <c r="U169" s="61"/>
      <c r="V169" s="61"/>
      <c r="W169" s="61"/>
      <c r="X169" s="61"/>
    </row>
    <row r="170" spans="1:80" s="62" customFormat="1" ht="35.1" customHeight="1">
      <c r="A170" s="63"/>
      <c r="B170" s="163"/>
      <c r="C170" s="163"/>
      <c r="D170" s="163"/>
      <c r="E170" s="89"/>
      <c r="F170" s="65"/>
      <c r="G170" s="65"/>
      <c r="H170" s="65"/>
      <c r="I170" s="65"/>
      <c r="J170" s="65"/>
      <c r="K170" s="65"/>
      <c r="L170" s="65"/>
      <c r="M170" s="44"/>
      <c r="N170" s="44"/>
      <c r="O170" s="44"/>
      <c r="P170" s="17"/>
      <c r="Q170" s="60"/>
      <c r="R170" s="242" t="str">
        <f t="shared" si="5"/>
        <v/>
      </c>
      <c r="S170" s="243" t="str">
        <f t="shared" si="6"/>
        <v>-</v>
      </c>
      <c r="T170" s="61"/>
      <c r="U170" s="61"/>
      <c r="V170" s="61"/>
      <c r="W170" s="61"/>
      <c r="X170" s="61"/>
    </row>
    <row r="171" spans="1:80" s="62" customFormat="1" ht="35.1" customHeight="1">
      <c r="A171" s="63"/>
      <c r="B171" s="163"/>
      <c r="C171" s="163"/>
      <c r="D171" s="163"/>
      <c r="E171" s="89"/>
      <c r="F171" s="65"/>
      <c r="G171" s="65"/>
      <c r="H171" s="65"/>
      <c r="I171" s="65"/>
      <c r="J171" s="65"/>
      <c r="K171" s="65"/>
      <c r="L171" s="65"/>
      <c r="M171" s="44"/>
      <c r="N171" s="44">
        <v>0</v>
      </c>
      <c r="O171" s="44">
        <v>0</v>
      </c>
      <c r="P171" s="17"/>
      <c r="Q171" s="60"/>
      <c r="R171" s="242" t="str">
        <f t="shared" si="5"/>
        <v/>
      </c>
      <c r="S171" s="243" t="str">
        <f t="shared" si="6"/>
        <v>-</v>
      </c>
      <c r="T171" s="61"/>
      <c r="U171" s="61"/>
      <c r="V171" s="61"/>
      <c r="W171" s="61"/>
      <c r="X171" s="61"/>
    </row>
    <row r="172" spans="1:80" s="62" customFormat="1" ht="35.1" customHeight="1">
      <c r="A172" s="63"/>
      <c r="B172" s="163"/>
      <c r="C172" s="163"/>
      <c r="D172" s="163"/>
      <c r="E172" s="89"/>
      <c r="F172" s="65"/>
      <c r="G172" s="65"/>
      <c r="H172" s="65"/>
      <c r="I172" s="65"/>
      <c r="J172" s="65"/>
      <c r="K172" s="65"/>
      <c r="L172" s="65"/>
      <c r="M172" s="44"/>
      <c r="N172" s="44">
        <v>0</v>
      </c>
      <c r="O172" s="44">
        <v>0</v>
      </c>
      <c r="P172" s="17"/>
      <c r="Q172" s="60"/>
      <c r="R172" s="242" t="str">
        <f t="shared" si="5"/>
        <v/>
      </c>
      <c r="S172" s="243" t="str">
        <f t="shared" si="6"/>
        <v>-</v>
      </c>
      <c r="T172" s="61"/>
      <c r="U172" s="61"/>
      <c r="V172" s="61"/>
      <c r="W172" s="61"/>
      <c r="X172" s="61"/>
    </row>
    <row r="173" spans="1:80" s="62" customFormat="1" ht="35.1" customHeight="1">
      <c r="A173" s="63"/>
      <c r="B173" s="163"/>
      <c r="C173" s="163"/>
      <c r="D173" s="163"/>
      <c r="E173" s="89"/>
      <c r="F173" s="65"/>
      <c r="G173" s="65"/>
      <c r="H173" s="65"/>
      <c r="I173" s="65"/>
      <c r="J173" s="65"/>
      <c r="K173" s="65"/>
      <c r="L173" s="65"/>
      <c r="M173" s="44"/>
      <c r="N173" s="44">
        <v>0</v>
      </c>
      <c r="O173" s="44">
        <v>0</v>
      </c>
      <c r="P173" s="17"/>
      <c r="Q173" s="60"/>
      <c r="R173" s="242" t="str">
        <f t="shared" si="5"/>
        <v/>
      </c>
      <c r="S173" s="243" t="str">
        <f t="shared" si="6"/>
        <v>-</v>
      </c>
      <c r="T173" s="61"/>
      <c r="U173" s="61"/>
      <c r="V173" s="61"/>
      <c r="W173" s="61"/>
      <c r="X173" s="61"/>
    </row>
    <row r="174" spans="1:80" s="62" customFormat="1" ht="35.1" customHeight="1">
      <c r="A174" s="63"/>
      <c r="B174" s="163"/>
      <c r="C174" s="163"/>
      <c r="D174" s="163"/>
      <c r="E174" s="64"/>
      <c r="F174" s="65"/>
      <c r="G174" s="65"/>
      <c r="H174" s="65"/>
      <c r="I174" s="65"/>
      <c r="J174" s="65"/>
      <c r="K174" s="65"/>
      <c r="L174" s="65"/>
      <c r="M174" s="44"/>
      <c r="N174" s="44"/>
      <c r="O174" s="44"/>
      <c r="P174" s="17"/>
      <c r="Q174" s="60"/>
      <c r="R174" s="242" t="str">
        <f t="shared" si="5"/>
        <v/>
      </c>
      <c r="S174" s="243" t="str">
        <f t="shared" si="6"/>
        <v>-</v>
      </c>
      <c r="T174" s="61"/>
      <c r="U174" s="61"/>
      <c r="V174" s="61"/>
      <c r="W174" s="61"/>
      <c r="X174" s="61"/>
    </row>
    <row r="175" spans="1:80" s="62" customFormat="1" ht="35.1" customHeight="1">
      <c r="A175" s="63"/>
      <c r="B175" s="163"/>
      <c r="C175" s="163"/>
      <c r="D175" s="163"/>
      <c r="E175" s="64"/>
      <c r="F175" s="65"/>
      <c r="G175" s="65"/>
      <c r="H175" s="65"/>
      <c r="I175" s="65"/>
      <c r="J175" s="65"/>
      <c r="K175" s="65"/>
      <c r="L175" s="65"/>
      <c r="M175" s="44"/>
      <c r="N175" s="44"/>
      <c r="O175" s="44"/>
      <c r="P175" s="17"/>
      <c r="Q175" s="60"/>
      <c r="R175" s="242" t="str">
        <f t="shared" si="5"/>
        <v/>
      </c>
      <c r="S175" s="243" t="str">
        <f t="shared" si="6"/>
        <v>-</v>
      </c>
      <c r="T175" s="61"/>
      <c r="U175" s="61"/>
      <c r="V175" s="61"/>
      <c r="W175" s="61"/>
      <c r="X175" s="61"/>
    </row>
    <row r="176" spans="1:80" s="62" customFormat="1" ht="35.1" customHeight="1">
      <c r="A176" s="63"/>
      <c r="B176" s="163"/>
      <c r="C176" s="163"/>
      <c r="D176" s="163"/>
      <c r="E176" s="64"/>
      <c r="F176" s="65"/>
      <c r="G176" s="65"/>
      <c r="H176" s="65"/>
      <c r="I176" s="65"/>
      <c r="J176" s="65"/>
      <c r="K176" s="65"/>
      <c r="L176" s="65"/>
      <c r="M176" s="44"/>
      <c r="N176" s="44"/>
      <c r="O176" s="44"/>
      <c r="P176" s="17"/>
      <c r="Q176" s="60"/>
      <c r="R176" s="242" t="str">
        <f t="shared" si="5"/>
        <v/>
      </c>
      <c r="S176" s="243" t="str">
        <f t="shared" si="6"/>
        <v>-</v>
      </c>
      <c r="T176" s="61"/>
      <c r="U176" s="61"/>
      <c r="V176" s="61"/>
      <c r="W176" s="61"/>
      <c r="X176" s="61"/>
    </row>
    <row r="177" spans="1:80" s="62" customFormat="1" ht="35.1" customHeight="1">
      <c r="A177" s="63"/>
      <c r="B177" s="163"/>
      <c r="C177" s="163"/>
      <c r="D177" s="163"/>
      <c r="E177" s="64"/>
      <c r="F177" s="65"/>
      <c r="G177" s="65"/>
      <c r="H177" s="65"/>
      <c r="I177" s="65"/>
      <c r="J177" s="65"/>
      <c r="K177" s="65"/>
      <c r="L177" s="65"/>
      <c r="M177" s="44"/>
      <c r="N177" s="44"/>
      <c r="O177" s="44"/>
      <c r="P177" s="17"/>
      <c r="Q177" s="60"/>
      <c r="R177" s="242" t="str">
        <f t="shared" si="5"/>
        <v/>
      </c>
      <c r="S177" s="243" t="str">
        <f t="shared" si="6"/>
        <v>-</v>
      </c>
      <c r="T177" s="61"/>
      <c r="U177" s="61"/>
      <c r="V177" s="61"/>
      <c r="W177" s="61"/>
      <c r="X177" s="61"/>
    </row>
    <row r="178" spans="1:80" s="62" customFormat="1" ht="35.1" customHeight="1">
      <c r="A178" s="63"/>
      <c r="B178" s="163"/>
      <c r="C178" s="163"/>
      <c r="D178" s="163"/>
      <c r="E178" s="64"/>
      <c r="F178" s="65"/>
      <c r="G178" s="65"/>
      <c r="H178" s="65"/>
      <c r="I178" s="65"/>
      <c r="J178" s="65"/>
      <c r="K178" s="65"/>
      <c r="L178" s="65"/>
      <c r="M178" s="44"/>
      <c r="N178" s="44"/>
      <c r="O178" s="44"/>
      <c r="P178" s="17"/>
      <c r="Q178" s="60"/>
      <c r="R178" s="242" t="str">
        <f t="shared" si="5"/>
        <v/>
      </c>
      <c r="S178" s="243" t="str">
        <f t="shared" si="6"/>
        <v>-</v>
      </c>
      <c r="T178" s="61"/>
      <c r="U178" s="61"/>
      <c r="V178" s="61"/>
      <c r="W178" s="61"/>
      <c r="X178" s="61"/>
    </row>
    <row r="179" spans="1:80" s="62" customFormat="1" ht="35.1" customHeight="1">
      <c r="A179" s="63"/>
      <c r="B179" s="163"/>
      <c r="C179" s="163"/>
      <c r="D179" s="163"/>
      <c r="E179" s="64"/>
      <c r="F179" s="65"/>
      <c r="G179" s="65"/>
      <c r="H179" s="65"/>
      <c r="I179" s="65"/>
      <c r="J179" s="65"/>
      <c r="K179" s="65"/>
      <c r="L179" s="65"/>
      <c r="M179" s="44"/>
      <c r="N179" s="44"/>
      <c r="O179" s="44"/>
      <c r="P179" s="17"/>
      <c r="Q179" s="60"/>
      <c r="R179" s="242" t="str">
        <f t="shared" si="5"/>
        <v/>
      </c>
      <c r="S179" s="243" t="str">
        <f t="shared" si="6"/>
        <v>-</v>
      </c>
      <c r="T179" s="61"/>
      <c r="U179" s="61"/>
      <c r="V179" s="61"/>
      <c r="W179" s="61"/>
      <c r="X179" s="61"/>
    </row>
    <row r="180" spans="1:80" s="62" customFormat="1" ht="35.1" customHeight="1">
      <c r="A180" s="63"/>
      <c r="B180" s="163"/>
      <c r="C180" s="163"/>
      <c r="D180" s="163"/>
      <c r="E180" s="64"/>
      <c r="F180" s="65"/>
      <c r="G180" s="65"/>
      <c r="H180" s="65"/>
      <c r="I180" s="65"/>
      <c r="J180" s="65"/>
      <c r="K180" s="65"/>
      <c r="L180" s="65"/>
      <c r="M180" s="44"/>
      <c r="N180" s="44"/>
      <c r="O180" s="44"/>
      <c r="P180" s="17"/>
      <c r="Q180" s="60"/>
      <c r="R180" s="242" t="str">
        <f t="shared" si="5"/>
        <v/>
      </c>
      <c r="S180" s="243" t="str">
        <f t="shared" si="6"/>
        <v>-</v>
      </c>
      <c r="T180" s="61"/>
      <c r="U180" s="61"/>
      <c r="V180" s="61"/>
      <c r="W180" s="61"/>
      <c r="X180" s="61"/>
    </row>
    <row r="181" spans="1:80" s="62" customFormat="1" ht="35.1" customHeight="1">
      <c r="A181" s="63"/>
      <c r="B181" s="163"/>
      <c r="C181" s="163"/>
      <c r="D181" s="163"/>
      <c r="E181" s="64"/>
      <c r="F181" s="65"/>
      <c r="G181" s="65"/>
      <c r="H181" s="65"/>
      <c r="I181" s="65"/>
      <c r="J181" s="65"/>
      <c r="K181" s="65"/>
      <c r="L181" s="65"/>
      <c r="M181" s="44"/>
      <c r="N181" s="44"/>
      <c r="O181" s="44"/>
      <c r="P181" s="17"/>
      <c r="Q181" s="60"/>
      <c r="R181" s="242" t="str">
        <f t="shared" si="5"/>
        <v/>
      </c>
      <c r="S181" s="243" t="str">
        <f t="shared" si="6"/>
        <v>-</v>
      </c>
      <c r="T181" s="61"/>
      <c r="U181" s="61"/>
      <c r="V181" s="61"/>
      <c r="W181" s="61"/>
      <c r="X181" s="61"/>
    </row>
    <row r="182" spans="1:80" s="62" customFormat="1" ht="35.1" customHeight="1">
      <c r="A182" s="63"/>
      <c r="B182" s="163"/>
      <c r="C182" s="163"/>
      <c r="D182" s="163"/>
      <c r="E182" s="64"/>
      <c r="F182" s="65"/>
      <c r="G182" s="65"/>
      <c r="H182" s="65"/>
      <c r="I182" s="65"/>
      <c r="J182" s="65"/>
      <c r="K182" s="65"/>
      <c r="L182" s="65"/>
      <c r="M182" s="44"/>
      <c r="N182" s="44"/>
      <c r="O182" s="44"/>
      <c r="P182" s="17"/>
      <c r="Q182" s="60"/>
      <c r="R182" s="242" t="str">
        <f t="shared" si="5"/>
        <v/>
      </c>
      <c r="S182" s="243" t="str">
        <f t="shared" si="6"/>
        <v>-</v>
      </c>
      <c r="T182" s="61"/>
      <c r="U182" s="61"/>
      <c r="V182" s="61"/>
      <c r="W182" s="61"/>
      <c r="X182" s="61"/>
    </row>
    <row r="183" spans="1:80" s="73" customFormat="1" ht="35.1" customHeight="1">
      <c r="A183" s="66" t="s">
        <v>41</v>
      </c>
      <c r="B183" s="67"/>
      <c r="C183" s="67"/>
      <c r="D183" s="67"/>
      <c r="E183" s="67"/>
      <c r="F183" s="68"/>
      <c r="G183" s="69"/>
      <c r="H183" s="69"/>
      <c r="I183" s="69">
        <f>SUM(I163:I182)</f>
        <v>0</v>
      </c>
      <c r="J183" s="70"/>
      <c r="K183" s="70"/>
      <c r="L183" s="70"/>
      <c r="M183" s="70"/>
      <c r="N183" s="70"/>
      <c r="O183" s="70"/>
      <c r="P183" s="71"/>
      <c r="Q183" s="60"/>
      <c r="R183" s="242" t="str">
        <f t="shared" si="5"/>
        <v/>
      </c>
      <c r="S183" s="243" t="str">
        <f t="shared" si="6"/>
        <v>-</v>
      </c>
      <c r="T183" s="61"/>
      <c r="U183" s="61"/>
      <c r="V183" s="61"/>
      <c r="W183" s="61"/>
      <c r="X183" s="61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  <c r="BZ183" s="72"/>
      <c r="CA183" s="72"/>
      <c r="CB183" s="72"/>
    </row>
    <row r="184" spans="1:80" s="62" customFormat="1" ht="35.1" customHeight="1">
      <c r="A184" s="58"/>
      <c r="B184" s="161"/>
      <c r="C184" s="161"/>
      <c r="D184" s="161"/>
      <c r="E184" s="82"/>
      <c r="F184" s="59"/>
      <c r="G184" s="59"/>
      <c r="H184" s="59"/>
      <c r="I184" s="59"/>
      <c r="J184" s="59"/>
      <c r="K184" s="59"/>
      <c r="L184" s="59"/>
      <c r="M184" s="43"/>
      <c r="N184" s="43"/>
      <c r="O184" s="43"/>
      <c r="P184" s="16"/>
      <c r="Q184" s="60"/>
      <c r="R184" s="242" t="str">
        <f t="shared" si="5"/>
        <v/>
      </c>
      <c r="S184" s="243" t="str">
        <f t="shared" si="6"/>
        <v>-</v>
      </c>
      <c r="T184" s="61"/>
      <c r="U184" s="61"/>
      <c r="V184" s="61"/>
      <c r="W184" s="61"/>
      <c r="X184" s="61"/>
    </row>
    <row r="185" spans="1:80" s="62" customFormat="1" ht="35.1" customHeight="1">
      <c r="A185" s="92"/>
      <c r="B185" s="162"/>
      <c r="C185" s="162"/>
      <c r="D185" s="162"/>
      <c r="E185" s="96"/>
      <c r="F185" s="93"/>
      <c r="G185" s="93"/>
      <c r="H185" s="93"/>
      <c r="I185" s="93"/>
      <c r="J185" s="93"/>
      <c r="K185" s="93"/>
      <c r="L185" s="93"/>
      <c r="M185" s="94"/>
      <c r="N185" s="94"/>
      <c r="O185" s="94"/>
      <c r="P185" s="95"/>
      <c r="Q185" s="60"/>
      <c r="R185" s="242" t="str">
        <f t="shared" si="5"/>
        <v/>
      </c>
      <c r="S185" s="243" t="str">
        <f t="shared" si="6"/>
        <v>-</v>
      </c>
      <c r="T185" s="61"/>
      <c r="U185" s="61"/>
      <c r="V185" s="61"/>
      <c r="W185" s="61"/>
      <c r="X185" s="61"/>
    </row>
    <row r="186" spans="1:80" s="62" customFormat="1" ht="35.1" customHeight="1">
      <c r="A186" s="63"/>
      <c r="B186" s="163"/>
      <c r="C186" s="163"/>
      <c r="D186" s="163"/>
      <c r="E186" s="83"/>
      <c r="F186" s="65"/>
      <c r="G186" s="65"/>
      <c r="H186" s="65"/>
      <c r="I186" s="65"/>
      <c r="J186" s="65"/>
      <c r="K186" s="65"/>
      <c r="L186" s="65"/>
      <c r="M186" s="44">
        <v>0</v>
      </c>
      <c r="N186" s="44">
        <v>0</v>
      </c>
      <c r="O186" s="44">
        <v>0</v>
      </c>
      <c r="P186" s="17"/>
      <c r="Q186" s="60"/>
      <c r="R186" s="242" t="str">
        <f t="shared" si="5"/>
        <v/>
      </c>
      <c r="S186" s="243" t="str">
        <f t="shared" si="6"/>
        <v>-</v>
      </c>
      <c r="T186" s="61"/>
      <c r="U186" s="61"/>
      <c r="V186" s="61"/>
      <c r="W186" s="61"/>
      <c r="X186" s="61"/>
    </row>
    <row r="187" spans="1:80" s="62" customFormat="1" ht="35.1" customHeight="1">
      <c r="A187" s="63"/>
      <c r="B187" s="163"/>
      <c r="C187" s="163"/>
      <c r="D187" s="163"/>
      <c r="E187" s="84"/>
      <c r="F187" s="65"/>
      <c r="G187" s="65"/>
      <c r="H187" s="65"/>
      <c r="I187" s="65"/>
      <c r="J187" s="65"/>
      <c r="K187" s="65"/>
      <c r="L187" s="65"/>
      <c r="M187" s="44">
        <v>0</v>
      </c>
      <c r="N187" s="44">
        <v>0</v>
      </c>
      <c r="O187" s="44">
        <v>0</v>
      </c>
      <c r="P187" s="17"/>
      <c r="Q187" s="60"/>
      <c r="R187" s="242" t="str">
        <f t="shared" si="5"/>
        <v/>
      </c>
      <c r="S187" s="243" t="str">
        <f t="shared" si="6"/>
        <v>-</v>
      </c>
      <c r="T187" s="61"/>
      <c r="U187" s="61"/>
      <c r="V187" s="61"/>
      <c r="W187" s="61"/>
      <c r="X187" s="61"/>
    </row>
    <row r="188" spans="1:80" s="62" customFormat="1" ht="35.1" customHeight="1">
      <c r="A188" s="63"/>
      <c r="B188" s="163"/>
      <c r="C188" s="163"/>
      <c r="D188" s="163"/>
      <c r="E188" s="89"/>
      <c r="F188" s="65"/>
      <c r="G188" s="65"/>
      <c r="H188" s="65"/>
      <c r="I188" s="65"/>
      <c r="J188" s="65"/>
      <c r="K188" s="65"/>
      <c r="L188" s="65"/>
      <c r="M188" s="44">
        <v>0</v>
      </c>
      <c r="N188" s="44">
        <v>0</v>
      </c>
      <c r="O188" s="44">
        <v>0</v>
      </c>
      <c r="P188" s="17"/>
      <c r="Q188" s="60"/>
      <c r="R188" s="242" t="str">
        <f t="shared" si="5"/>
        <v/>
      </c>
      <c r="S188" s="243" t="str">
        <f t="shared" si="6"/>
        <v>-</v>
      </c>
      <c r="T188" s="61"/>
      <c r="U188" s="61"/>
      <c r="V188" s="61"/>
      <c r="W188" s="61"/>
      <c r="X188" s="61"/>
    </row>
    <row r="189" spans="1:80" s="62" customFormat="1" ht="35.1" customHeight="1">
      <c r="A189" s="63"/>
      <c r="B189" s="163"/>
      <c r="C189" s="163"/>
      <c r="D189" s="163"/>
      <c r="E189" s="89"/>
      <c r="F189" s="65"/>
      <c r="G189" s="65"/>
      <c r="H189" s="65"/>
      <c r="I189" s="65"/>
      <c r="J189" s="65"/>
      <c r="K189" s="65"/>
      <c r="L189" s="65"/>
      <c r="M189" s="44">
        <v>0</v>
      </c>
      <c r="N189" s="44">
        <v>0</v>
      </c>
      <c r="O189" s="44">
        <v>0</v>
      </c>
      <c r="P189" s="17"/>
      <c r="Q189" s="60"/>
      <c r="R189" s="242" t="str">
        <f t="shared" si="5"/>
        <v/>
      </c>
      <c r="S189" s="243" t="str">
        <f t="shared" si="6"/>
        <v>-</v>
      </c>
      <c r="T189" s="61"/>
      <c r="U189" s="61"/>
      <c r="V189" s="61"/>
      <c r="W189" s="61"/>
      <c r="X189" s="61"/>
    </row>
    <row r="190" spans="1:80" s="62" customFormat="1" ht="35.1" customHeight="1">
      <c r="A190" s="63"/>
      <c r="B190" s="163"/>
      <c r="C190" s="163"/>
      <c r="D190" s="163"/>
      <c r="E190" s="89"/>
      <c r="F190" s="65"/>
      <c r="G190" s="65"/>
      <c r="H190" s="65"/>
      <c r="I190" s="65"/>
      <c r="J190" s="65"/>
      <c r="K190" s="65"/>
      <c r="L190" s="65"/>
      <c r="M190" s="44"/>
      <c r="N190" s="44"/>
      <c r="O190" s="44"/>
      <c r="P190" s="17"/>
      <c r="Q190" s="60"/>
      <c r="R190" s="242" t="str">
        <f t="shared" si="5"/>
        <v/>
      </c>
      <c r="S190" s="243" t="str">
        <f t="shared" si="6"/>
        <v>-</v>
      </c>
      <c r="T190" s="61"/>
      <c r="U190" s="61"/>
      <c r="V190" s="61"/>
      <c r="W190" s="61"/>
      <c r="X190" s="61"/>
    </row>
    <row r="191" spans="1:80" s="62" customFormat="1" ht="35.1" customHeight="1">
      <c r="A191" s="63"/>
      <c r="B191" s="163"/>
      <c r="C191" s="163"/>
      <c r="D191" s="163"/>
      <c r="E191" s="89"/>
      <c r="F191" s="65"/>
      <c r="G191" s="65"/>
      <c r="H191" s="65"/>
      <c r="I191" s="65"/>
      <c r="J191" s="65"/>
      <c r="K191" s="65"/>
      <c r="L191" s="65"/>
      <c r="M191" s="44"/>
      <c r="N191" s="44"/>
      <c r="O191" s="44"/>
      <c r="P191" s="17"/>
      <c r="Q191" s="60"/>
      <c r="R191" s="242" t="str">
        <f t="shared" si="5"/>
        <v/>
      </c>
      <c r="S191" s="243" t="str">
        <f t="shared" si="6"/>
        <v>-</v>
      </c>
      <c r="T191" s="61"/>
      <c r="U191" s="61"/>
      <c r="V191" s="61"/>
      <c r="W191" s="61"/>
      <c r="X191" s="61"/>
    </row>
    <row r="192" spans="1:80" s="62" customFormat="1" ht="35.1" customHeight="1">
      <c r="A192" s="63"/>
      <c r="B192" s="163"/>
      <c r="C192" s="163"/>
      <c r="D192" s="163"/>
      <c r="E192" s="89"/>
      <c r="F192" s="65"/>
      <c r="G192" s="65"/>
      <c r="H192" s="65"/>
      <c r="I192" s="65"/>
      <c r="J192" s="65"/>
      <c r="K192" s="65"/>
      <c r="L192" s="65"/>
      <c r="M192" s="44"/>
      <c r="N192" s="44"/>
      <c r="O192" s="44"/>
      <c r="P192" s="17"/>
      <c r="Q192" s="60"/>
      <c r="R192" s="242" t="str">
        <f t="shared" si="5"/>
        <v/>
      </c>
      <c r="S192" s="243" t="str">
        <f t="shared" si="6"/>
        <v>-</v>
      </c>
      <c r="T192" s="61"/>
      <c r="U192" s="61"/>
      <c r="V192" s="61"/>
      <c r="W192" s="61"/>
      <c r="X192" s="61"/>
    </row>
    <row r="193" spans="1:80" s="62" customFormat="1" ht="35.1" customHeight="1">
      <c r="A193" s="63"/>
      <c r="B193" s="163"/>
      <c r="C193" s="163"/>
      <c r="D193" s="163"/>
      <c r="E193" s="89"/>
      <c r="F193" s="65"/>
      <c r="G193" s="65"/>
      <c r="H193" s="65"/>
      <c r="I193" s="65"/>
      <c r="J193" s="65"/>
      <c r="K193" s="65"/>
      <c r="L193" s="65"/>
      <c r="M193" s="44">
        <v>0</v>
      </c>
      <c r="N193" s="44">
        <v>0</v>
      </c>
      <c r="O193" s="44">
        <v>0</v>
      </c>
      <c r="P193" s="17"/>
      <c r="Q193" s="60"/>
      <c r="R193" s="242" t="str">
        <f t="shared" si="5"/>
        <v/>
      </c>
      <c r="S193" s="243" t="str">
        <f t="shared" si="6"/>
        <v>-</v>
      </c>
      <c r="T193" s="61"/>
      <c r="U193" s="61"/>
      <c r="V193" s="61"/>
      <c r="W193" s="61"/>
      <c r="X193" s="61"/>
    </row>
    <row r="194" spans="1:80" s="62" customFormat="1" ht="35.1" customHeight="1">
      <c r="A194" s="63"/>
      <c r="B194" s="163"/>
      <c r="C194" s="163"/>
      <c r="D194" s="163"/>
      <c r="E194" s="89"/>
      <c r="F194" s="65"/>
      <c r="G194" s="65"/>
      <c r="H194" s="65"/>
      <c r="I194" s="65"/>
      <c r="J194" s="65"/>
      <c r="K194" s="65"/>
      <c r="L194" s="65"/>
      <c r="M194" s="44">
        <v>0</v>
      </c>
      <c r="N194" s="44">
        <v>0</v>
      </c>
      <c r="O194" s="44">
        <v>0</v>
      </c>
      <c r="P194" s="17"/>
      <c r="Q194" s="60"/>
      <c r="R194" s="242" t="str">
        <f t="shared" si="5"/>
        <v/>
      </c>
      <c r="S194" s="243" t="str">
        <f t="shared" si="6"/>
        <v>-</v>
      </c>
      <c r="T194" s="61"/>
      <c r="U194" s="61"/>
      <c r="V194" s="61"/>
      <c r="W194" s="61"/>
      <c r="X194" s="61"/>
    </row>
    <row r="195" spans="1:80" s="62" customFormat="1" ht="35.1" customHeight="1">
      <c r="A195" s="63"/>
      <c r="B195" s="163"/>
      <c r="C195" s="163"/>
      <c r="D195" s="163"/>
      <c r="E195" s="64"/>
      <c r="F195" s="65"/>
      <c r="G195" s="65"/>
      <c r="H195" s="65"/>
      <c r="I195" s="65"/>
      <c r="J195" s="65"/>
      <c r="K195" s="65"/>
      <c r="L195" s="65"/>
      <c r="M195" s="44"/>
      <c r="N195" s="44"/>
      <c r="O195" s="44"/>
      <c r="P195" s="17"/>
      <c r="Q195" s="60"/>
      <c r="R195" s="242" t="str">
        <f t="shared" si="5"/>
        <v/>
      </c>
      <c r="S195" s="243" t="str">
        <f t="shared" si="6"/>
        <v>-</v>
      </c>
      <c r="T195" s="61"/>
      <c r="U195" s="61"/>
      <c r="V195" s="61"/>
      <c r="W195" s="61"/>
      <c r="X195" s="61"/>
    </row>
    <row r="196" spans="1:80" s="62" customFormat="1" ht="35.1" customHeight="1">
      <c r="A196" s="63"/>
      <c r="B196" s="163"/>
      <c r="C196" s="163"/>
      <c r="D196" s="163"/>
      <c r="E196" s="64"/>
      <c r="F196" s="65"/>
      <c r="G196" s="65"/>
      <c r="H196" s="65"/>
      <c r="I196" s="65"/>
      <c r="J196" s="65"/>
      <c r="K196" s="65"/>
      <c r="L196" s="65"/>
      <c r="M196" s="44"/>
      <c r="N196" s="44"/>
      <c r="O196" s="44"/>
      <c r="P196" s="17"/>
      <c r="Q196" s="60"/>
      <c r="R196" s="242" t="str">
        <f t="shared" si="5"/>
        <v/>
      </c>
      <c r="S196" s="243" t="str">
        <f t="shared" si="6"/>
        <v>-</v>
      </c>
      <c r="T196" s="61"/>
      <c r="U196" s="61"/>
      <c r="V196" s="61"/>
      <c r="W196" s="61"/>
      <c r="X196" s="61"/>
    </row>
    <row r="197" spans="1:80" s="62" customFormat="1" ht="35.1" customHeight="1">
      <c r="A197" s="63"/>
      <c r="B197" s="163"/>
      <c r="C197" s="163"/>
      <c r="D197" s="163"/>
      <c r="E197" s="64"/>
      <c r="F197" s="65"/>
      <c r="G197" s="65"/>
      <c r="H197" s="65"/>
      <c r="I197" s="65"/>
      <c r="J197" s="65"/>
      <c r="K197" s="65"/>
      <c r="L197" s="65"/>
      <c r="M197" s="44"/>
      <c r="N197" s="44"/>
      <c r="O197" s="44"/>
      <c r="P197" s="17"/>
      <c r="Q197" s="60"/>
      <c r="R197" s="242" t="str">
        <f t="shared" si="5"/>
        <v/>
      </c>
      <c r="S197" s="243" t="str">
        <f t="shared" si="6"/>
        <v>-</v>
      </c>
      <c r="T197" s="61"/>
      <c r="U197" s="61"/>
      <c r="V197" s="61"/>
      <c r="W197" s="61"/>
      <c r="X197" s="61"/>
    </row>
    <row r="198" spans="1:80" s="62" customFormat="1" ht="35.1" customHeight="1">
      <c r="A198" s="63"/>
      <c r="B198" s="163"/>
      <c r="C198" s="163"/>
      <c r="D198" s="163"/>
      <c r="E198" s="64"/>
      <c r="F198" s="65"/>
      <c r="G198" s="65"/>
      <c r="H198" s="65"/>
      <c r="I198" s="65"/>
      <c r="J198" s="65"/>
      <c r="K198" s="65"/>
      <c r="L198" s="65"/>
      <c r="M198" s="44"/>
      <c r="N198" s="44"/>
      <c r="O198" s="44"/>
      <c r="P198" s="17"/>
      <c r="Q198" s="60"/>
      <c r="R198" s="242" t="str">
        <f t="shared" si="5"/>
        <v/>
      </c>
      <c r="S198" s="243" t="str">
        <f t="shared" si="6"/>
        <v>-</v>
      </c>
      <c r="T198" s="61"/>
      <c r="U198" s="61"/>
      <c r="V198" s="61"/>
      <c r="W198" s="61"/>
      <c r="X198" s="61"/>
    </row>
    <row r="199" spans="1:80" s="62" customFormat="1" ht="35.1" customHeight="1">
      <c r="A199" s="63"/>
      <c r="B199" s="163"/>
      <c r="C199" s="163"/>
      <c r="D199" s="163"/>
      <c r="E199" s="64"/>
      <c r="F199" s="65"/>
      <c r="G199" s="65"/>
      <c r="H199" s="65"/>
      <c r="I199" s="65"/>
      <c r="J199" s="65"/>
      <c r="K199" s="65"/>
      <c r="L199" s="65"/>
      <c r="M199" s="44"/>
      <c r="N199" s="44"/>
      <c r="O199" s="44"/>
      <c r="P199" s="17"/>
      <c r="Q199" s="60"/>
      <c r="R199" s="242" t="str">
        <f t="shared" ref="R199:R262" si="7">CONCATENATE(F199,J199)</f>
        <v/>
      </c>
      <c r="S199" s="243" t="str">
        <f t="shared" ref="S199:S262" si="8">IF(G199&gt;=I199,"-","err")</f>
        <v>-</v>
      </c>
      <c r="T199" s="61"/>
      <c r="U199" s="61"/>
      <c r="V199" s="61"/>
      <c r="W199" s="61"/>
      <c r="X199" s="61"/>
    </row>
    <row r="200" spans="1:80" s="62" customFormat="1" ht="35.1" customHeight="1">
      <c r="A200" s="63"/>
      <c r="B200" s="163"/>
      <c r="C200" s="163"/>
      <c r="D200" s="163"/>
      <c r="E200" s="64"/>
      <c r="F200" s="65"/>
      <c r="G200" s="65"/>
      <c r="H200" s="65"/>
      <c r="I200" s="65"/>
      <c r="J200" s="65"/>
      <c r="K200" s="65"/>
      <c r="L200" s="65"/>
      <c r="M200" s="44"/>
      <c r="N200" s="44"/>
      <c r="O200" s="44"/>
      <c r="P200" s="17"/>
      <c r="Q200" s="60"/>
      <c r="R200" s="242" t="str">
        <f t="shared" si="7"/>
        <v/>
      </c>
      <c r="S200" s="243" t="str">
        <f t="shared" si="8"/>
        <v>-</v>
      </c>
      <c r="T200" s="61"/>
      <c r="U200" s="61"/>
      <c r="V200" s="61"/>
      <c r="W200" s="61"/>
      <c r="X200" s="61"/>
    </row>
    <row r="201" spans="1:80" s="62" customFormat="1" ht="35.1" customHeight="1">
      <c r="A201" s="63"/>
      <c r="B201" s="163"/>
      <c r="C201" s="163"/>
      <c r="D201" s="163"/>
      <c r="E201" s="64"/>
      <c r="F201" s="65"/>
      <c r="G201" s="65"/>
      <c r="H201" s="65"/>
      <c r="I201" s="65"/>
      <c r="J201" s="65"/>
      <c r="K201" s="65"/>
      <c r="L201" s="65"/>
      <c r="M201" s="44"/>
      <c r="N201" s="44"/>
      <c r="O201" s="44"/>
      <c r="P201" s="17"/>
      <c r="Q201" s="60"/>
      <c r="R201" s="242" t="str">
        <f t="shared" si="7"/>
        <v/>
      </c>
      <c r="S201" s="243" t="str">
        <f t="shared" si="8"/>
        <v>-</v>
      </c>
      <c r="T201" s="61"/>
      <c r="U201" s="61"/>
      <c r="V201" s="61"/>
      <c r="W201" s="61"/>
      <c r="X201" s="61"/>
    </row>
    <row r="202" spans="1:80" s="62" customFormat="1" ht="35.1" customHeight="1">
      <c r="A202" s="63"/>
      <c r="B202" s="163"/>
      <c r="C202" s="163"/>
      <c r="D202" s="163"/>
      <c r="E202" s="64"/>
      <c r="F202" s="65"/>
      <c r="G202" s="65"/>
      <c r="H202" s="65"/>
      <c r="I202" s="65"/>
      <c r="J202" s="65"/>
      <c r="K202" s="65"/>
      <c r="L202" s="65"/>
      <c r="M202" s="44"/>
      <c r="N202" s="44"/>
      <c r="O202" s="44"/>
      <c r="P202" s="17"/>
      <c r="Q202" s="60"/>
      <c r="R202" s="242" t="str">
        <f t="shared" si="7"/>
        <v/>
      </c>
      <c r="S202" s="243" t="str">
        <f t="shared" si="8"/>
        <v>-</v>
      </c>
      <c r="T202" s="61"/>
      <c r="U202" s="61"/>
      <c r="V202" s="61"/>
      <c r="W202" s="61"/>
      <c r="X202" s="61"/>
    </row>
    <row r="203" spans="1:80" s="62" customFormat="1" ht="35.1" customHeight="1">
      <c r="A203" s="63"/>
      <c r="B203" s="163"/>
      <c r="C203" s="163"/>
      <c r="D203" s="163"/>
      <c r="E203" s="64"/>
      <c r="F203" s="65"/>
      <c r="G203" s="65"/>
      <c r="H203" s="65"/>
      <c r="I203" s="65"/>
      <c r="J203" s="65"/>
      <c r="K203" s="65"/>
      <c r="L203" s="65"/>
      <c r="M203" s="44"/>
      <c r="N203" s="44"/>
      <c r="O203" s="44"/>
      <c r="P203" s="17"/>
      <c r="Q203" s="60"/>
      <c r="R203" s="242" t="str">
        <f t="shared" si="7"/>
        <v/>
      </c>
      <c r="S203" s="243" t="str">
        <f t="shared" si="8"/>
        <v>-</v>
      </c>
      <c r="T203" s="61"/>
      <c r="U203" s="61"/>
      <c r="V203" s="61"/>
      <c r="W203" s="61"/>
      <c r="X203" s="61"/>
    </row>
    <row r="204" spans="1:80" s="73" customFormat="1" ht="35.1" customHeight="1">
      <c r="A204" s="66" t="s">
        <v>41</v>
      </c>
      <c r="B204" s="67"/>
      <c r="C204" s="67"/>
      <c r="D204" s="67"/>
      <c r="E204" s="67"/>
      <c r="F204" s="68"/>
      <c r="G204" s="69"/>
      <c r="H204" s="69"/>
      <c r="I204" s="69">
        <f>SUM(I184:I203)</f>
        <v>0</v>
      </c>
      <c r="J204" s="70"/>
      <c r="K204" s="70"/>
      <c r="L204" s="70"/>
      <c r="M204" s="70"/>
      <c r="N204" s="70"/>
      <c r="O204" s="70"/>
      <c r="P204" s="71"/>
      <c r="Q204" s="60"/>
      <c r="R204" s="242" t="str">
        <f t="shared" si="7"/>
        <v/>
      </c>
      <c r="S204" s="243" t="str">
        <f t="shared" si="8"/>
        <v>-</v>
      </c>
      <c r="T204" s="61"/>
      <c r="U204" s="61"/>
      <c r="V204" s="61"/>
      <c r="W204" s="61"/>
      <c r="X204" s="61"/>
      <c r="Y204" s="72"/>
      <c r="Z204" s="72"/>
      <c r="AA204" s="72"/>
      <c r="AB204" s="72"/>
      <c r="AC204" s="72"/>
      <c r="AD204" s="72"/>
      <c r="AE204" s="72"/>
      <c r="AF204" s="72"/>
      <c r="AG204" s="72"/>
      <c r="AH204" s="72"/>
      <c r="AI204" s="72"/>
      <c r="AJ204" s="72"/>
      <c r="AK204" s="72"/>
      <c r="AL204" s="72"/>
      <c r="AM204" s="72"/>
      <c r="AN204" s="72"/>
      <c r="AO204" s="72"/>
      <c r="AP204" s="72"/>
      <c r="AQ204" s="72"/>
      <c r="AR204" s="72"/>
      <c r="AS204" s="72"/>
      <c r="AT204" s="72"/>
      <c r="AU204" s="72"/>
      <c r="AV204" s="72"/>
      <c r="AW204" s="72"/>
      <c r="AX204" s="72"/>
      <c r="AY204" s="72"/>
      <c r="AZ204" s="72"/>
      <c r="BA204" s="72"/>
      <c r="BB204" s="72"/>
      <c r="BC204" s="72"/>
      <c r="BD204" s="72"/>
      <c r="BE204" s="72"/>
      <c r="BF204" s="72"/>
      <c r="BG204" s="72"/>
      <c r="BH204" s="72"/>
      <c r="BI204" s="72"/>
      <c r="BJ204" s="72"/>
      <c r="BK204" s="72"/>
      <c r="BL204" s="72"/>
      <c r="BM204" s="72"/>
      <c r="BN204" s="72"/>
      <c r="BO204" s="72"/>
      <c r="BP204" s="72"/>
      <c r="BQ204" s="72"/>
      <c r="BR204" s="72"/>
      <c r="BS204" s="72"/>
      <c r="BT204" s="72"/>
      <c r="BU204" s="72"/>
      <c r="BV204" s="72"/>
      <c r="BW204" s="72"/>
      <c r="BX204" s="72"/>
      <c r="BY204" s="72"/>
      <c r="BZ204" s="72"/>
      <c r="CA204" s="72"/>
      <c r="CB204" s="72"/>
    </row>
    <row r="205" spans="1:80" s="62" customFormat="1" ht="35.1" customHeight="1">
      <c r="A205" s="58"/>
      <c r="B205" s="161"/>
      <c r="C205" s="161"/>
      <c r="D205" s="161"/>
      <c r="E205" s="82"/>
      <c r="F205" s="59"/>
      <c r="G205" s="59"/>
      <c r="H205" s="59"/>
      <c r="I205" s="59"/>
      <c r="J205" s="59"/>
      <c r="K205" s="59"/>
      <c r="L205" s="59"/>
      <c r="M205" s="43"/>
      <c r="N205" s="43"/>
      <c r="O205" s="43"/>
      <c r="P205" s="16"/>
      <c r="Q205" s="60"/>
      <c r="R205" s="242" t="str">
        <f t="shared" si="7"/>
        <v/>
      </c>
      <c r="S205" s="243" t="str">
        <f t="shared" si="8"/>
        <v>-</v>
      </c>
      <c r="T205" s="61"/>
      <c r="U205" s="61"/>
      <c r="V205" s="61"/>
      <c r="W205" s="61"/>
      <c r="X205" s="61"/>
    </row>
    <row r="206" spans="1:80" s="62" customFormat="1" ht="35.1" customHeight="1">
      <c r="A206" s="92"/>
      <c r="B206" s="162"/>
      <c r="C206" s="162"/>
      <c r="D206" s="162"/>
      <c r="E206" s="96"/>
      <c r="F206" s="93"/>
      <c r="G206" s="93"/>
      <c r="H206" s="93"/>
      <c r="I206" s="93"/>
      <c r="J206" s="93"/>
      <c r="K206" s="93"/>
      <c r="L206" s="93"/>
      <c r="M206" s="94"/>
      <c r="N206" s="94"/>
      <c r="O206" s="94"/>
      <c r="P206" s="95"/>
      <c r="Q206" s="60"/>
      <c r="R206" s="242" t="str">
        <f t="shared" si="7"/>
        <v/>
      </c>
      <c r="S206" s="243" t="str">
        <f t="shared" si="8"/>
        <v>-</v>
      </c>
      <c r="T206" s="61"/>
      <c r="U206" s="61"/>
      <c r="V206" s="61"/>
      <c r="W206" s="61"/>
      <c r="X206" s="61"/>
    </row>
    <row r="207" spans="1:80" s="62" customFormat="1" ht="35.1" customHeight="1">
      <c r="A207" s="63"/>
      <c r="B207" s="163"/>
      <c r="C207" s="163"/>
      <c r="D207" s="163"/>
      <c r="E207" s="83"/>
      <c r="F207" s="65"/>
      <c r="G207" s="65"/>
      <c r="H207" s="65"/>
      <c r="I207" s="65"/>
      <c r="J207" s="65"/>
      <c r="K207" s="65"/>
      <c r="L207" s="65"/>
      <c r="M207" s="44"/>
      <c r="N207" s="44">
        <v>0</v>
      </c>
      <c r="O207" s="44">
        <v>0</v>
      </c>
      <c r="P207" s="17"/>
      <c r="Q207" s="60"/>
      <c r="R207" s="242" t="str">
        <f t="shared" si="7"/>
        <v/>
      </c>
      <c r="S207" s="243" t="str">
        <f t="shared" si="8"/>
        <v>-</v>
      </c>
      <c r="T207" s="61"/>
      <c r="U207" s="61"/>
      <c r="V207" s="61"/>
      <c r="W207" s="61"/>
      <c r="X207" s="61"/>
    </row>
    <row r="208" spans="1:80" s="62" customFormat="1" ht="35.1" customHeight="1">
      <c r="A208" s="63"/>
      <c r="B208" s="163"/>
      <c r="C208" s="163"/>
      <c r="D208" s="163"/>
      <c r="E208" s="84"/>
      <c r="F208" s="65"/>
      <c r="G208" s="65"/>
      <c r="H208" s="65"/>
      <c r="I208" s="65"/>
      <c r="J208" s="65"/>
      <c r="K208" s="65"/>
      <c r="L208" s="65"/>
      <c r="M208" s="44"/>
      <c r="N208" s="44">
        <v>0</v>
      </c>
      <c r="O208" s="44">
        <v>0</v>
      </c>
      <c r="P208" s="17"/>
      <c r="Q208" s="60"/>
      <c r="R208" s="242" t="str">
        <f t="shared" si="7"/>
        <v/>
      </c>
      <c r="S208" s="243" t="str">
        <f t="shared" si="8"/>
        <v>-</v>
      </c>
      <c r="T208" s="61"/>
      <c r="U208" s="61"/>
      <c r="V208" s="61"/>
      <c r="W208" s="61"/>
      <c r="X208" s="61"/>
    </row>
    <row r="209" spans="1:24" s="62" customFormat="1" ht="35.1" customHeight="1">
      <c r="A209" s="63"/>
      <c r="B209" s="163"/>
      <c r="C209" s="163"/>
      <c r="D209" s="163"/>
      <c r="E209" s="89"/>
      <c r="F209" s="65"/>
      <c r="G209" s="65"/>
      <c r="H209" s="65"/>
      <c r="I209" s="65"/>
      <c r="J209" s="65"/>
      <c r="K209" s="65"/>
      <c r="L209" s="65"/>
      <c r="M209" s="44"/>
      <c r="N209" s="44">
        <v>0</v>
      </c>
      <c r="O209" s="44">
        <v>0</v>
      </c>
      <c r="P209" s="17"/>
      <c r="Q209" s="60"/>
      <c r="R209" s="242" t="str">
        <f t="shared" si="7"/>
        <v/>
      </c>
      <c r="S209" s="243" t="str">
        <f t="shared" si="8"/>
        <v>-</v>
      </c>
      <c r="T209" s="61"/>
      <c r="U209" s="61"/>
      <c r="V209" s="61"/>
      <c r="W209" s="61"/>
      <c r="X209" s="61"/>
    </row>
    <row r="210" spans="1:24" s="62" customFormat="1" ht="35.1" customHeight="1">
      <c r="A210" s="63"/>
      <c r="B210" s="163"/>
      <c r="C210" s="163"/>
      <c r="D210" s="163"/>
      <c r="E210" s="89"/>
      <c r="F210" s="65"/>
      <c r="G210" s="65"/>
      <c r="H210" s="65"/>
      <c r="I210" s="65"/>
      <c r="J210" s="65"/>
      <c r="K210" s="65"/>
      <c r="L210" s="65"/>
      <c r="M210" s="44"/>
      <c r="N210" s="44">
        <v>0</v>
      </c>
      <c r="O210" s="44">
        <v>0</v>
      </c>
      <c r="P210" s="17"/>
      <c r="Q210" s="60"/>
      <c r="R210" s="242" t="str">
        <f t="shared" si="7"/>
        <v/>
      </c>
      <c r="S210" s="243" t="str">
        <f t="shared" si="8"/>
        <v>-</v>
      </c>
      <c r="T210" s="61"/>
      <c r="U210" s="61"/>
      <c r="V210" s="61"/>
      <c r="W210" s="61"/>
      <c r="X210" s="61"/>
    </row>
    <row r="211" spans="1:24" s="62" customFormat="1" ht="35.1" customHeight="1">
      <c r="A211" s="63"/>
      <c r="B211" s="163"/>
      <c r="C211" s="163"/>
      <c r="D211" s="163"/>
      <c r="E211" s="89"/>
      <c r="F211" s="65"/>
      <c r="G211" s="65"/>
      <c r="H211" s="65"/>
      <c r="I211" s="65"/>
      <c r="J211" s="65"/>
      <c r="K211" s="65"/>
      <c r="L211" s="65"/>
      <c r="M211" s="44"/>
      <c r="N211" s="44">
        <v>0</v>
      </c>
      <c r="O211" s="44">
        <v>0</v>
      </c>
      <c r="P211" s="17"/>
      <c r="Q211" s="60"/>
      <c r="R211" s="242" t="str">
        <f t="shared" si="7"/>
        <v/>
      </c>
      <c r="S211" s="243" t="str">
        <f t="shared" si="8"/>
        <v>-</v>
      </c>
      <c r="T211" s="61"/>
      <c r="U211" s="61"/>
      <c r="V211" s="61"/>
      <c r="W211" s="61"/>
      <c r="X211" s="61"/>
    </row>
    <row r="212" spans="1:24" s="62" customFormat="1" ht="35.1" customHeight="1">
      <c r="A212" s="63"/>
      <c r="B212" s="163"/>
      <c r="C212" s="163"/>
      <c r="D212" s="163"/>
      <c r="E212" s="89"/>
      <c r="F212" s="65"/>
      <c r="G212" s="65"/>
      <c r="H212" s="65"/>
      <c r="I212" s="65"/>
      <c r="J212" s="65"/>
      <c r="K212" s="65"/>
      <c r="L212" s="65"/>
      <c r="M212" s="44"/>
      <c r="N212" s="44"/>
      <c r="O212" s="44"/>
      <c r="P212" s="17"/>
      <c r="Q212" s="60"/>
      <c r="R212" s="242" t="str">
        <f t="shared" si="7"/>
        <v/>
      </c>
      <c r="S212" s="243" t="str">
        <f t="shared" si="8"/>
        <v>-</v>
      </c>
      <c r="T212" s="61"/>
      <c r="U212" s="61"/>
      <c r="V212" s="61"/>
      <c r="W212" s="61"/>
      <c r="X212" s="61"/>
    </row>
    <row r="213" spans="1:24" s="62" customFormat="1" ht="35.1" customHeight="1">
      <c r="A213" s="63"/>
      <c r="B213" s="163"/>
      <c r="C213" s="163"/>
      <c r="D213" s="163"/>
      <c r="E213" s="89"/>
      <c r="F213" s="65"/>
      <c r="G213" s="65"/>
      <c r="H213" s="65"/>
      <c r="I213" s="65"/>
      <c r="J213" s="65"/>
      <c r="K213" s="65"/>
      <c r="L213" s="65"/>
      <c r="M213" s="44"/>
      <c r="N213" s="44">
        <v>0</v>
      </c>
      <c r="O213" s="44">
        <v>0</v>
      </c>
      <c r="P213" s="17"/>
      <c r="Q213" s="60"/>
      <c r="R213" s="242" t="str">
        <f t="shared" si="7"/>
        <v/>
      </c>
      <c r="S213" s="243" t="str">
        <f t="shared" si="8"/>
        <v>-</v>
      </c>
      <c r="T213" s="61"/>
      <c r="U213" s="61"/>
      <c r="V213" s="61"/>
      <c r="W213" s="61"/>
      <c r="X213" s="61"/>
    </row>
    <row r="214" spans="1:24" s="62" customFormat="1" ht="35.1" customHeight="1">
      <c r="A214" s="63"/>
      <c r="B214" s="163"/>
      <c r="C214" s="163"/>
      <c r="D214" s="163"/>
      <c r="E214" s="89"/>
      <c r="F214" s="65"/>
      <c r="G214" s="65"/>
      <c r="H214" s="65"/>
      <c r="I214" s="65"/>
      <c r="J214" s="65"/>
      <c r="K214" s="65"/>
      <c r="L214" s="65"/>
      <c r="M214" s="44"/>
      <c r="N214" s="44">
        <v>0</v>
      </c>
      <c r="O214" s="44">
        <v>0</v>
      </c>
      <c r="P214" s="17"/>
      <c r="Q214" s="60"/>
      <c r="R214" s="242" t="str">
        <f t="shared" si="7"/>
        <v/>
      </c>
      <c r="S214" s="243" t="str">
        <f t="shared" si="8"/>
        <v>-</v>
      </c>
      <c r="T214" s="61"/>
      <c r="U214" s="61"/>
      <c r="V214" s="61"/>
      <c r="W214" s="61"/>
      <c r="X214" s="61"/>
    </row>
    <row r="215" spans="1:24" s="62" customFormat="1" ht="35.1" customHeight="1">
      <c r="A215" s="63"/>
      <c r="B215" s="163"/>
      <c r="C215" s="163"/>
      <c r="D215" s="163"/>
      <c r="E215" s="89"/>
      <c r="F215" s="65"/>
      <c r="G215" s="65"/>
      <c r="H215" s="65"/>
      <c r="I215" s="65"/>
      <c r="J215" s="65"/>
      <c r="K215" s="65"/>
      <c r="L215" s="65"/>
      <c r="M215" s="44"/>
      <c r="N215" s="44">
        <v>0</v>
      </c>
      <c r="O215" s="44">
        <v>0</v>
      </c>
      <c r="P215" s="17"/>
      <c r="Q215" s="60"/>
      <c r="R215" s="242" t="str">
        <f t="shared" si="7"/>
        <v/>
      </c>
      <c r="S215" s="243" t="str">
        <f t="shared" si="8"/>
        <v>-</v>
      </c>
      <c r="T215" s="61"/>
      <c r="U215" s="61"/>
      <c r="V215" s="61"/>
      <c r="W215" s="61"/>
      <c r="X215" s="61"/>
    </row>
    <row r="216" spans="1:24" s="62" customFormat="1" ht="35.1" customHeight="1">
      <c r="A216" s="63"/>
      <c r="B216" s="163"/>
      <c r="C216" s="163"/>
      <c r="D216" s="163"/>
      <c r="E216" s="64"/>
      <c r="F216" s="65"/>
      <c r="G216" s="65"/>
      <c r="H216" s="65"/>
      <c r="I216" s="65"/>
      <c r="J216" s="65"/>
      <c r="K216" s="65"/>
      <c r="L216" s="65"/>
      <c r="M216" s="44"/>
      <c r="N216" s="44"/>
      <c r="O216" s="44"/>
      <c r="P216" s="17"/>
      <c r="Q216" s="60"/>
      <c r="R216" s="242" t="str">
        <f t="shared" si="7"/>
        <v/>
      </c>
      <c r="S216" s="243" t="str">
        <f t="shared" si="8"/>
        <v>-</v>
      </c>
      <c r="T216" s="61"/>
      <c r="U216" s="61"/>
      <c r="V216" s="61"/>
      <c r="W216" s="61"/>
      <c r="X216" s="61"/>
    </row>
    <row r="217" spans="1:24" s="62" customFormat="1" ht="35.1" customHeight="1">
      <c r="A217" s="63"/>
      <c r="B217" s="163"/>
      <c r="C217" s="163"/>
      <c r="D217" s="163"/>
      <c r="E217" s="64"/>
      <c r="F217" s="65"/>
      <c r="G217" s="65"/>
      <c r="H217" s="65"/>
      <c r="I217" s="65"/>
      <c r="J217" s="65"/>
      <c r="K217" s="65"/>
      <c r="L217" s="65"/>
      <c r="M217" s="44"/>
      <c r="N217" s="44"/>
      <c r="O217" s="44"/>
      <c r="P217" s="17"/>
      <c r="Q217" s="60"/>
      <c r="R217" s="242" t="str">
        <f t="shared" si="7"/>
        <v/>
      </c>
      <c r="S217" s="243" t="str">
        <f t="shared" si="8"/>
        <v>-</v>
      </c>
      <c r="T217" s="61"/>
      <c r="U217" s="61"/>
      <c r="V217" s="61"/>
      <c r="W217" s="61"/>
      <c r="X217" s="61"/>
    </row>
    <row r="218" spans="1:24" s="62" customFormat="1" ht="35.1" customHeight="1">
      <c r="A218" s="63"/>
      <c r="B218" s="163"/>
      <c r="C218" s="163"/>
      <c r="D218" s="163"/>
      <c r="E218" s="64"/>
      <c r="F218" s="65"/>
      <c r="G218" s="65"/>
      <c r="H218" s="65"/>
      <c r="I218" s="65"/>
      <c r="J218" s="65"/>
      <c r="K218" s="65"/>
      <c r="L218" s="65"/>
      <c r="M218" s="44"/>
      <c r="N218" s="44"/>
      <c r="O218" s="44"/>
      <c r="P218" s="17"/>
      <c r="Q218" s="60"/>
      <c r="R218" s="242" t="str">
        <f t="shared" si="7"/>
        <v/>
      </c>
      <c r="S218" s="243" t="str">
        <f t="shared" si="8"/>
        <v>-</v>
      </c>
      <c r="T218" s="61"/>
      <c r="U218" s="61"/>
      <c r="V218" s="61"/>
      <c r="W218" s="61"/>
      <c r="X218" s="61"/>
    </row>
    <row r="219" spans="1:24" s="62" customFormat="1" ht="35.1" customHeight="1">
      <c r="A219" s="63"/>
      <c r="B219" s="163"/>
      <c r="C219" s="163"/>
      <c r="D219" s="163"/>
      <c r="E219" s="64"/>
      <c r="F219" s="65"/>
      <c r="G219" s="65"/>
      <c r="H219" s="65"/>
      <c r="I219" s="65"/>
      <c r="J219" s="65"/>
      <c r="K219" s="65"/>
      <c r="L219" s="65"/>
      <c r="M219" s="44"/>
      <c r="N219" s="44"/>
      <c r="O219" s="44"/>
      <c r="P219" s="17"/>
      <c r="Q219" s="60"/>
      <c r="R219" s="242" t="str">
        <f t="shared" si="7"/>
        <v/>
      </c>
      <c r="S219" s="243" t="str">
        <f t="shared" si="8"/>
        <v>-</v>
      </c>
      <c r="T219" s="61"/>
      <c r="U219" s="61"/>
      <c r="V219" s="61"/>
      <c r="W219" s="61"/>
      <c r="X219" s="61"/>
    </row>
    <row r="220" spans="1:24" s="62" customFormat="1" ht="35.1" customHeight="1">
      <c r="A220" s="63"/>
      <c r="B220" s="163"/>
      <c r="C220" s="163"/>
      <c r="D220" s="163"/>
      <c r="E220" s="64"/>
      <c r="F220" s="65"/>
      <c r="G220" s="65"/>
      <c r="H220" s="65"/>
      <c r="I220" s="65"/>
      <c r="J220" s="65"/>
      <c r="K220" s="65"/>
      <c r="L220" s="65"/>
      <c r="M220" s="44"/>
      <c r="N220" s="44"/>
      <c r="O220" s="44"/>
      <c r="P220" s="17"/>
      <c r="Q220" s="60"/>
      <c r="R220" s="242" t="str">
        <f t="shared" si="7"/>
        <v/>
      </c>
      <c r="S220" s="243" t="str">
        <f t="shared" si="8"/>
        <v>-</v>
      </c>
      <c r="T220" s="61"/>
      <c r="U220" s="61"/>
      <c r="V220" s="61"/>
      <c r="W220" s="61"/>
      <c r="X220" s="61"/>
    </row>
    <row r="221" spans="1:24" s="62" customFormat="1" ht="35.1" customHeight="1">
      <c r="A221" s="63"/>
      <c r="B221" s="163"/>
      <c r="C221" s="163"/>
      <c r="D221" s="163"/>
      <c r="E221" s="64"/>
      <c r="F221" s="65"/>
      <c r="G221" s="65"/>
      <c r="H221" s="65"/>
      <c r="I221" s="65"/>
      <c r="J221" s="65"/>
      <c r="K221" s="65"/>
      <c r="L221" s="65"/>
      <c r="M221" s="44"/>
      <c r="N221" s="44"/>
      <c r="O221" s="44"/>
      <c r="P221" s="17"/>
      <c r="Q221" s="60"/>
      <c r="R221" s="242" t="str">
        <f t="shared" si="7"/>
        <v/>
      </c>
      <c r="S221" s="243" t="str">
        <f t="shared" si="8"/>
        <v>-</v>
      </c>
      <c r="T221" s="61"/>
      <c r="U221" s="61"/>
      <c r="V221" s="61"/>
      <c r="W221" s="61"/>
      <c r="X221" s="61"/>
    </row>
    <row r="222" spans="1:24" s="62" customFormat="1" ht="35.1" customHeight="1">
      <c r="A222" s="63"/>
      <c r="B222" s="163"/>
      <c r="C222" s="163"/>
      <c r="D222" s="163"/>
      <c r="E222" s="64"/>
      <c r="F222" s="65"/>
      <c r="G222" s="65"/>
      <c r="H222" s="65"/>
      <c r="I222" s="65"/>
      <c r="J222" s="65"/>
      <c r="K222" s="65"/>
      <c r="L222" s="65"/>
      <c r="M222" s="44"/>
      <c r="N222" s="44"/>
      <c r="O222" s="44"/>
      <c r="P222" s="17"/>
      <c r="Q222" s="60"/>
      <c r="R222" s="242" t="str">
        <f t="shared" si="7"/>
        <v/>
      </c>
      <c r="S222" s="243" t="str">
        <f t="shared" si="8"/>
        <v>-</v>
      </c>
      <c r="T222" s="61"/>
      <c r="U222" s="61"/>
      <c r="V222" s="61"/>
      <c r="W222" s="61"/>
      <c r="X222" s="61"/>
    </row>
    <row r="223" spans="1:24" s="62" customFormat="1" ht="35.1" customHeight="1">
      <c r="A223" s="63"/>
      <c r="B223" s="163"/>
      <c r="C223" s="163"/>
      <c r="D223" s="163"/>
      <c r="E223" s="64"/>
      <c r="F223" s="65"/>
      <c r="G223" s="65"/>
      <c r="H223" s="65"/>
      <c r="I223" s="65"/>
      <c r="J223" s="65"/>
      <c r="K223" s="65"/>
      <c r="L223" s="65"/>
      <c r="M223" s="44"/>
      <c r="N223" s="44"/>
      <c r="O223" s="44"/>
      <c r="P223" s="17"/>
      <c r="Q223" s="60"/>
      <c r="R223" s="242" t="str">
        <f t="shared" si="7"/>
        <v/>
      </c>
      <c r="S223" s="243" t="str">
        <f t="shared" si="8"/>
        <v>-</v>
      </c>
      <c r="T223" s="61"/>
      <c r="U223" s="61"/>
      <c r="V223" s="61"/>
      <c r="W223" s="61"/>
      <c r="X223" s="61"/>
    </row>
    <row r="224" spans="1:24" s="62" customFormat="1" ht="35.1" customHeight="1">
      <c r="A224" s="63"/>
      <c r="B224" s="163"/>
      <c r="C224" s="163"/>
      <c r="D224" s="163"/>
      <c r="E224" s="64"/>
      <c r="F224" s="65"/>
      <c r="G224" s="65"/>
      <c r="H224" s="65"/>
      <c r="I224" s="65"/>
      <c r="J224" s="65"/>
      <c r="K224" s="65"/>
      <c r="L224" s="65"/>
      <c r="M224" s="44"/>
      <c r="N224" s="44"/>
      <c r="O224" s="44"/>
      <c r="P224" s="17"/>
      <c r="Q224" s="60"/>
      <c r="R224" s="242" t="str">
        <f t="shared" si="7"/>
        <v/>
      </c>
      <c r="S224" s="243" t="str">
        <f t="shared" si="8"/>
        <v>-</v>
      </c>
      <c r="T224" s="61"/>
      <c r="U224" s="61"/>
      <c r="V224" s="61"/>
      <c r="W224" s="61"/>
      <c r="X224" s="61"/>
    </row>
    <row r="225" spans="1:80" s="73" customFormat="1" ht="35.1" customHeight="1">
      <c r="A225" s="66" t="s">
        <v>41</v>
      </c>
      <c r="B225" s="67"/>
      <c r="C225" s="67"/>
      <c r="D225" s="67"/>
      <c r="E225" s="67"/>
      <c r="F225" s="68"/>
      <c r="G225" s="69"/>
      <c r="H225" s="69"/>
      <c r="I225" s="69">
        <f>SUM(I205:I224)</f>
        <v>0</v>
      </c>
      <c r="J225" s="70"/>
      <c r="K225" s="70"/>
      <c r="L225" s="70"/>
      <c r="M225" s="70"/>
      <c r="N225" s="70"/>
      <c r="O225" s="70"/>
      <c r="P225" s="71"/>
      <c r="Q225" s="60"/>
      <c r="R225" s="242" t="str">
        <f t="shared" si="7"/>
        <v/>
      </c>
      <c r="S225" s="243" t="str">
        <f t="shared" si="8"/>
        <v>-</v>
      </c>
      <c r="T225" s="61"/>
      <c r="U225" s="61"/>
      <c r="V225" s="61"/>
      <c r="W225" s="61"/>
      <c r="X225" s="61"/>
      <c r="Y225" s="72"/>
      <c r="Z225" s="72"/>
      <c r="AA225" s="72"/>
      <c r="AB225" s="72"/>
      <c r="AC225" s="72"/>
      <c r="AD225" s="72"/>
      <c r="AE225" s="72"/>
      <c r="AF225" s="72"/>
      <c r="AG225" s="72"/>
      <c r="AH225" s="72"/>
      <c r="AI225" s="72"/>
      <c r="AJ225" s="72"/>
      <c r="AK225" s="72"/>
      <c r="AL225" s="72"/>
      <c r="AM225" s="72"/>
      <c r="AN225" s="72"/>
      <c r="AO225" s="72"/>
      <c r="AP225" s="72"/>
      <c r="AQ225" s="72"/>
      <c r="AR225" s="72"/>
      <c r="AS225" s="72"/>
      <c r="AT225" s="72"/>
      <c r="AU225" s="72"/>
      <c r="AV225" s="72"/>
      <c r="AW225" s="72"/>
      <c r="AX225" s="72"/>
      <c r="AY225" s="72"/>
      <c r="AZ225" s="72"/>
      <c r="BA225" s="72"/>
      <c r="BB225" s="72"/>
      <c r="BC225" s="72"/>
      <c r="BD225" s="72"/>
      <c r="BE225" s="72"/>
      <c r="BF225" s="72"/>
      <c r="BG225" s="72"/>
      <c r="BH225" s="72"/>
      <c r="BI225" s="72"/>
      <c r="BJ225" s="72"/>
      <c r="BK225" s="72"/>
      <c r="BL225" s="72"/>
      <c r="BM225" s="72"/>
      <c r="BN225" s="72"/>
      <c r="BO225" s="72"/>
      <c r="BP225" s="72"/>
      <c r="BQ225" s="72"/>
      <c r="BR225" s="72"/>
      <c r="BS225" s="72"/>
      <c r="BT225" s="72"/>
      <c r="BU225" s="72"/>
      <c r="BV225" s="72"/>
      <c r="BW225" s="72"/>
      <c r="BX225" s="72"/>
      <c r="BY225" s="72"/>
      <c r="BZ225" s="72"/>
      <c r="CA225" s="72"/>
      <c r="CB225" s="72"/>
    </row>
    <row r="226" spans="1:80" s="62" customFormat="1" ht="35.1" customHeight="1">
      <c r="A226" s="58"/>
      <c r="B226" s="161"/>
      <c r="C226" s="161"/>
      <c r="D226" s="161"/>
      <c r="E226" s="82"/>
      <c r="F226" s="59"/>
      <c r="G226" s="59"/>
      <c r="H226" s="59"/>
      <c r="I226" s="59"/>
      <c r="J226" s="59"/>
      <c r="K226" s="59"/>
      <c r="L226" s="59"/>
      <c r="M226" s="43"/>
      <c r="N226" s="43"/>
      <c r="O226" s="43"/>
      <c r="P226" s="16"/>
      <c r="Q226" s="60"/>
      <c r="R226" s="242" t="str">
        <f t="shared" si="7"/>
        <v/>
      </c>
      <c r="S226" s="243" t="str">
        <f t="shared" si="8"/>
        <v>-</v>
      </c>
      <c r="T226" s="61"/>
      <c r="U226" s="61"/>
      <c r="V226" s="61"/>
      <c r="W226" s="61"/>
      <c r="X226" s="61"/>
    </row>
    <row r="227" spans="1:80" s="62" customFormat="1" ht="35.1" customHeight="1">
      <c r="A227" s="92"/>
      <c r="B227" s="162"/>
      <c r="C227" s="162"/>
      <c r="D227" s="162"/>
      <c r="E227" s="96"/>
      <c r="F227" s="93"/>
      <c r="G227" s="93"/>
      <c r="H227" s="93"/>
      <c r="I227" s="93"/>
      <c r="J227" s="93"/>
      <c r="K227" s="93"/>
      <c r="L227" s="93"/>
      <c r="M227" s="94"/>
      <c r="N227" s="94"/>
      <c r="O227" s="94"/>
      <c r="P227" s="95"/>
      <c r="Q227" s="60"/>
      <c r="R227" s="242" t="str">
        <f t="shared" si="7"/>
        <v/>
      </c>
      <c r="S227" s="243" t="str">
        <f t="shared" si="8"/>
        <v>-</v>
      </c>
      <c r="T227" s="61"/>
      <c r="U227" s="61"/>
      <c r="V227" s="61"/>
      <c r="W227" s="61"/>
      <c r="X227" s="61"/>
    </row>
    <row r="228" spans="1:80" s="62" customFormat="1" ht="35.1" customHeight="1">
      <c r="A228" s="63"/>
      <c r="B228" s="163"/>
      <c r="C228" s="163"/>
      <c r="D228" s="163"/>
      <c r="E228" s="83"/>
      <c r="F228" s="65"/>
      <c r="G228" s="65"/>
      <c r="H228" s="65"/>
      <c r="I228" s="65"/>
      <c r="J228" s="65"/>
      <c r="K228" s="65"/>
      <c r="L228" s="65"/>
      <c r="M228" s="44">
        <v>0</v>
      </c>
      <c r="N228" s="44">
        <v>0</v>
      </c>
      <c r="O228" s="44">
        <v>0</v>
      </c>
      <c r="P228" s="17"/>
      <c r="Q228" s="60"/>
      <c r="R228" s="242" t="str">
        <f t="shared" si="7"/>
        <v/>
      </c>
      <c r="S228" s="243" t="str">
        <f t="shared" si="8"/>
        <v>-</v>
      </c>
      <c r="T228" s="61"/>
      <c r="U228" s="61"/>
      <c r="V228" s="61"/>
      <c r="W228" s="61"/>
      <c r="X228" s="61"/>
    </row>
    <row r="229" spans="1:80" s="62" customFormat="1" ht="35.1" customHeight="1">
      <c r="A229" s="63"/>
      <c r="B229" s="163"/>
      <c r="C229" s="163"/>
      <c r="D229" s="163"/>
      <c r="E229" s="84"/>
      <c r="F229" s="65"/>
      <c r="G229" s="65"/>
      <c r="H229" s="65"/>
      <c r="I229" s="65"/>
      <c r="J229" s="65"/>
      <c r="K229" s="65"/>
      <c r="L229" s="65"/>
      <c r="M229" s="44">
        <v>0</v>
      </c>
      <c r="N229" s="44">
        <v>0</v>
      </c>
      <c r="O229" s="44">
        <v>0</v>
      </c>
      <c r="P229" s="17"/>
      <c r="Q229" s="60"/>
      <c r="R229" s="242" t="str">
        <f t="shared" si="7"/>
        <v/>
      </c>
      <c r="S229" s="243" t="str">
        <f t="shared" si="8"/>
        <v>-</v>
      </c>
      <c r="T229" s="61"/>
      <c r="U229" s="61"/>
      <c r="V229" s="61"/>
      <c r="W229" s="61"/>
      <c r="X229" s="61"/>
    </row>
    <row r="230" spans="1:80" s="62" customFormat="1" ht="35.1" customHeight="1">
      <c r="A230" s="63"/>
      <c r="B230" s="163"/>
      <c r="C230" s="163"/>
      <c r="D230" s="163"/>
      <c r="E230" s="89"/>
      <c r="F230" s="65"/>
      <c r="G230" s="65"/>
      <c r="H230" s="65"/>
      <c r="I230" s="65"/>
      <c r="J230" s="65"/>
      <c r="K230" s="65"/>
      <c r="L230" s="65"/>
      <c r="M230" s="44">
        <v>0</v>
      </c>
      <c r="N230" s="44">
        <v>0</v>
      </c>
      <c r="O230" s="44">
        <v>0</v>
      </c>
      <c r="P230" s="17"/>
      <c r="Q230" s="60"/>
      <c r="R230" s="242" t="str">
        <f t="shared" si="7"/>
        <v/>
      </c>
      <c r="S230" s="243" t="str">
        <f t="shared" si="8"/>
        <v>-</v>
      </c>
      <c r="T230" s="61"/>
      <c r="U230" s="61"/>
      <c r="V230" s="61"/>
      <c r="W230" s="61"/>
      <c r="X230" s="61"/>
    </row>
    <row r="231" spans="1:80" s="62" customFormat="1" ht="35.1" customHeight="1">
      <c r="A231" s="63"/>
      <c r="B231" s="163"/>
      <c r="C231" s="163"/>
      <c r="D231" s="163"/>
      <c r="E231" s="89"/>
      <c r="F231" s="65"/>
      <c r="G231" s="65"/>
      <c r="H231" s="65"/>
      <c r="I231" s="65"/>
      <c r="J231" s="65"/>
      <c r="K231" s="65"/>
      <c r="L231" s="65"/>
      <c r="M231" s="44">
        <v>0</v>
      </c>
      <c r="N231" s="44">
        <v>0</v>
      </c>
      <c r="O231" s="44">
        <v>0</v>
      </c>
      <c r="P231" s="17"/>
      <c r="Q231" s="60"/>
      <c r="R231" s="242" t="str">
        <f t="shared" si="7"/>
        <v/>
      </c>
      <c r="S231" s="243" t="str">
        <f t="shared" si="8"/>
        <v>-</v>
      </c>
      <c r="T231" s="61"/>
      <c r="U231" s="61"/>
      <c r="V231" s="61"/>
      <c r="W231" s="61"/>
      <c r="X231" s="61"/>
    </row>
    <row r="232" spans="1:80" s="62" customFormat="1" ht="35.1" customHeight="1">
      <c r="A232" s="63"/>
      <c r="B232" s="163"/>
      <c r="C232" s="163"/>
      <c r="D232" s="163"/>
      <c r="E232" s="89"/>
      <c r="F232" s="65"/>
      <c r="G232" s="65"/>
      <c r="H232" s="65"/>
      <c r="I232" s="65"/>
      <c r="J232" s="65"/>
      <c r="K232" s="65"/>
      <c r="L232" s="65"/>
      <c r="M232" s="44"/>
      <c r="N232" s="44"/>
      <c r="O232" s="44"/>
      <c r="P232" s="17"/>
      <c r="Q232" s="60"/>
      <c r="R232" s="242" t="str">
        <f t="shared" si="7"/>
        <v/>
      </c>
      <c r="S232" s="243" t="str">
        <f t="shared" si="8"/>
        <v>-</v>
      </c>
      <c r="T232" s="61"/>
      <c r="U232" s="61"/>
      <c r="V232" s="61"/>
      <c r="W232" s="61"/>
      <c r="X232" s="61"/>
    </row>
    <row r="233" spans="1:80" s="62" customFormat="1" ht="35.1" customHeight="1">
      <c r="A233" s="63"/>
      <c r="B233" s="163"/>
      <c r="C233" s="163"/>
      <c r="D233" s="163"/>
      <c r="E233" s="89"/>
      <c r="F233" s="65"/>
      <c r="G233" s="65"/>
      <c r="H233" s="65"/>
      <c r="I233" s="65"/>
      <c r="J233" s="65"/>
      <c r="K233" s="65"/>
      <c r="L233" s="65"/>
      <c r="M233" s="44"/>
      <c r="N233" s="44"/>
      <c r="O233" s="44"/>
      <c r="P233" s="17"/>
      <c r="Q233" s="60"/>
      <c r="R233" s="242" t="str">
        <f t="shared" si="7"/>
        <v/>
      </c>
      <c r="S233" s="243" t="str">
        <f t="shared" si="8"/>
        <v>-</v>
      </c>
      <c r="T233" s="61"/>
      <c r="U233" s="61"/>
      <c r="V233" s="61"/>
      <c r="W233" s="61"/>
      <c r="X233" s="61"/>
    </row>
    <row r="234" spans="1:80" s="62" customFormat="1" ht="35.1" customHeight="1">
      <c r="A234" s="63"/>
      <c r="B234" s="163"/>
      <c r="C234" s="163"/>
      <c r="D234" s="163"/>
      <c r="E234" s="89"/>
      <c r="F234" s="65"/>
      <c r="G234" s="65"/>
      <c r="H234" s="65"/>
      <c r="I234" s="65"/>
      <c r="J234" s="65"/>
      <c r="K234" s="65"/>
      <c r="L234" s="65"/>
      <c r="M234" s="44"/>
      <c r="N234" s="44"/>
      <c r="O234" s="44"/>
      <c r="P234" s="17"/>
      <c r="Q234" s="60"/>
      <c r="R234" s="242" t="str">
        <f t="shared" si="7"/>
        <v/>
      </c>
      <c r="S234" s="243" t="str">
        <f t="shared" si="8"/>
        <v>-</v>
      </c>
      <c r="T234" s="61"/>
      <c r="U234" s="61"/>
      <c r="V234" s="61"/>
      <c r="W234" s="61"/>
      <c r="X234" s="61"/>
    </row>
    <row r="235" spans="1:80" s="62" customFormat="1" ht="35.1" customHeight="1">
      <c r="A235" s="63"/>
      <c r="B235" s="163"/>
      <c r="C235" s="163"/>
      <c r="D235" s="163"/>
      <c r="E235" s="89"/>
      <c r="F235" s="65"/>
      <c r="G235" s="65"/>
      <c r="H235" s="65"/>
      <c r="I235" s="65"/>
      <c r="J235" s="65"/>
      <c r="K235" s="65"/>
      <c r="L235" s="65"/>
      <c r="M235" s="44">
        <v>0</v>
      </c>
      <c r="N235" s="44">
        <v>0</v>
      </c>
      <c r="O235" s="44">
        <v>0</v>
      </c>
      <c r="P235" s="17"/>
      <c r="Q235" s="60"/>
      <c r="R235" s="242" t="str">
        <f t="shared" si="7"/>
        <v/>
      </c>
      <c r="S235" s="243" t="str">
        <f t="shared" si="8"/>
        <v>-</v>
      </c>
      <c r="T235" s="61"/>
      <c r="U235" s="61"/>
      <c r="V235" s="61"/>
      <c r="W235" s="61"/>
      <c r="X235" s="61"/>
    </row>
    <row r="236" spans="1:80" s="62" customFormat="1" ht="35.1" customHeight="1">
      <c r="A236" s="63"/>
      <c r="B236" s="163"/>
      <c r="C236" s="163"/>
      <c r="D236" s="163"/>
      <c r="E236" s="89"/>
      <c r="F236" s="65"/>
      <c r="G236" s="65"/>
      <c r="H236" s="65"/>
      <c r="I236" s="65"/>
      <c r="J236" s="65"/>
      <c r="K236" s="65"/>
      <c r="L236" s="65"/>
      <c r="M236" s="44">
        <v>0</v>
      </c>
      <c r="N236" s="44">
        <v>0</v>
      </c>
      <c r="O236" s="44">
        <v>0</v>
      </c>
      <c r="P236" s="17"/>
      <c r="Q236" s="60"/>
      <c r="R236" s="242" t="str">
        <f t="shared" si="7"/>
        <v/>
      </c>
      <c r="S236" s="243" t="str">
        <f t="shared" si="8"/>
        <v>-</v>
      </c>
      <c r="T236" s="61"/>
      <c r="U236" s="61"/>
      <c r="V236" s="61"/>
      <c r="W236" s="61"/>
      <c r="X236" s="61"/>
    </row>
    <row r="237" spans="1:80" s="62" customFormat="1" ht="35.1" customHeight="1">
      <c r="A237" s="63"/>
      <c r="B237" s="163"/>
      <c r="C237" s="163"/>
      <c r="D237" s="163"/>
      <c r="E237" s="64"/>
      <c r="F237" s="65"/>
      <c r="G237" s="65"/>
      <c r="H237" s="65"/>
      <c r="I237" s="65"/>
      <c r="J237" s="65"/>
      <c r="K237" s="65"/>
      <c r="L237" s="65"/>
      <c r="M237" s="44"/>
      <c r="N237" s="44"/>
      <c r="O237" s="44"/>
      <c r="P237" s="17"/>
      <c r="Q237" s="60"/>
      <c r="R237" s="242" t="str">
        <f t="shared" si="7"/>
        <v/>
      </c>
      <c r="S237" s="243" t="str">
        <f t="shared" si="8"/>
        <v>-</v>
      </c>
      <c r="T237" s="61"/>
      <c r="U237" s="61"/>
      <c r="V237" s="61"/>
      <c r="W237" s="61"/>
      <c r="X237" s="61"/>
    </row>
    <row r="238" spans="1:80" s="62" customFormat="1" ht="35.1" customHeight="1">
      <c r="A238" s="63"/>
      <c r="B238" s="163"/>
      <c r="C238" s="163"/>
      <c r="D238" s="163"/>
      <c r="E238" s="64"/>
      <c r="F238" s="65"/>
      <c r="G238" s="65"/>
      <c r="H238" s="65"/>
      <c r="I238" s="65"/>
      <c r="J238" s="65"/>
      <c r="K238" s="65"/>
      <c r="L238" s="65"/>
      <c r="M238" s="44"/>
      <c r="N238" s="44"/>
      <c r="O238" s="44"/>
      <c r="P238" s="17"/>
      <c r="Q238" s="60"/>
      <c r="R238" s="242" t="str">
        <f t="shared" si="7"/>
        <v/>
      </c>
      <c r="S238" s="243" t="str">
        <f t="shared" si="8"/>
        <v>-</v>
      </c>
      <c r="T238" s="61"/>
      <c r="U238" s="61"/>
      <c r="V238" s="61"/>
      <c r="W238" s="61"/>
      <c r="X238" s="61"/>
    </row>
    <row r="239" spans="1:80" s="62" customFormat="1" ht="35.1" customHeight="1">
      <c r="A239" s="63"/>
      <c r="B239" s="163"/>
      <c r="C239" s="163"/>
      <c r="D239" s="163"/>
      <c r="E239" s="64"/>
      <c r="F239" s="65"/>
      <c r="G239" s="65"/>
      <c r="H239" s="65"/>
      <c r="I239" s="65"/>
      <c r="J239" s="65"/>
      <c r="K239" s="65"/>
      <c r="L239" s="65"/>
      <c r="M239" s="44"/>
      <c r="N239" s="44"/>
      <c r="O239" s="44"/>
      <c r="P239" s="17"/>
      <c r="Q239" s="60"/>
      <c r="R239" s="242" t="str">
        <f t="shared" si="7"/>
        <v/>
      </c>
      <c r="S239" s="243" t="str">
        <f t="shared" si="8"/>
        <v>-</v>
      </c>
      <c r="T239" s="61"/>
      <c r="U239" s="61"/>
      <c r="V239" s="61"/>
      <c r="W239" s="61"/>
      <c r="X239" s="61"/>
    </row>
    <row r="240" spans="1:80" s="62" customFormat="1" ht="35.1" customHeight="1">
      <c r="A240" s="63"/>
      <c r="B240" s="163"/>
      <c r="C240" s="163"/>
      <c r="D240" s="163"/>
      <c r="E240" s="64"/>
      <c r="F240" s="65"/>
      <c r="G240" s="65"/>
      <c r="H240" s="65"/>
      <c r="I240" s="65"/>
      <c r="J240" s="65"/>
      <c r="K240" s="65"/>
      <c r="L240" s="65"/>
      <c r="M240" s="44"/>
      <c r="N240" s="44"/>
      <c r="O240" s="44"/>
      <c r="P240" s="17"/>
      <c r="Q240" s="60"/>
      <c r="R240" s="242" t="str">
        <f t="shared" si="7"/>
        <v/>
      </c>
      <c r="S240" s="243" t="str">
        <f t="shared" si="8"/>
        <v>-</v>
      </c>
      <c r="T240" s="61"/>
      <c r="U240" s="61"/>
      <c r="V240" s="61"/>
      <c r="W240" s="61"/>
      <c r="X240" s="61"/>
    </row>
    <row r="241" spans="1:80" s="62" customFormat="1" ht="35.1" customHeight="1">
      <c r="A241" s="63"/>
      <c r="B241" s="163"/>
      <c r="C241" s="163"/>
      <c r="D241" s="163"/>
      <c r="E241" s="64"/>
      <c r="F241" s="65"/>
      <c r="G241" s="65"/>
      <c r="H241" s="65"/>
      <c r="I241" s="65"/>
      <c r="J241" s="65"/>
      <c r="K241" s="65"/>
      <c r="L241" s="65"/>
      <c r="M241" s="44"/>
      <c r="N241" s="44"/>
      <c r="O241" s="44"/>
      <c r="P241" s="17"/>
      <c r="Q241" s="60"/>
      <c r="R241" s="242" t="str">
        <f t="shared" si="7"/>
        <v/>
      </c>
      <c r="S241" s="243" t="str">
        <f t="shared" si="8"/>
        <v>-</v>
      </c>
      <c r="T241" s="61"/>
      <c r="U241" s="61"/>
      <c r="V241" s="61"/>
      <c r="W241" s="61"/>
      <c r="X241" s="61"/>
    </row>
    <row r="242" spans="1:80" s="62" customFormat="1" ht="35.1" customHeight="1">
      <c r="A242" s="63"/>
      <c r="B242" s="163"/>
      <c r="C242" s="163"/>
      <c r="D242" s="163"/>
      <c r="E242" s="64"/>
      <c r="F242" s="65"/>
      <c r="G242" s="65"/>
      <c r="H242" s="65"/>
      <c r="I242" s="65"/>
      <c r="J242" s="65"/>
      <c r="K242" s="65"/>
      <c r="L242" s="65"/>
      <c r="M242" s="44"/>
      <c r="N242" s="44"/>
      <c r="O242" s="44"/>
      <c r="P242" s="17"/>
      <c r="Q242" s="60"/>
      <c r="R242" s="242" t="str">
        <f t="shared" si="7"/>
        <v/>
      </c>
      <c r="S242" s="243" t="str">
        <f t="shared" si="8"/>
        <v>-</v>
      </c>
      <c r="T242" s="61"/>
      <c r="U242" s="61"/>
      <c r="V242" s="61"/>
      <c r="W242" s="61"/>
      <c r="X242" s="61"/>
    </row>
    <row r="243" spans="1:80" s="62" customFormat="1" ht="35.1" customHeight="1">
      <c r="A243" s="63"/>
      <c r="B243" s="163"/>
      <c r="C243" s="163"/>
      <c r="D243" s="163"/>
      <c r="E243" s="64"/>
      <c r="F243" s="65"/>
      <c r="G243" s="65"/>
      <c r="H243" s="65"/>
      <c r="I243" s="65"/>
      <c r="J243" s="65"/>
      <c r="K243" s="65"/>
      <c r="L243" s="65"/>
      <c r="M243" s="44"/>
      <c r="N243" s="44"/>
      <c r="O243" s="44"/>
      <c r="P243" s="17"/>
      <c r="Q243" s="60"/>
      <c r="R243" s="242" t="str">
        <f t="shared" si="7"/>
        <v/>
      </c>
      <c r="S243" s="243" t="str">
        <f t="shared" si="8"/>
        <v>-</v>
      </c>
      <c r="T243" s="61"/>
      <c r="U243" s="61"/>
      <c r="V243" s="61"/>
      <c r="W243" s="61"/>
      <c r="X243" s="61"/>
    </row>
    <row r="244" spans="1:80" s="62" customFormat="1" ht="35.1" customHeight="1">
      <c r="A244" s="63"/>
      <c r="B244" s="163"/>
      <c r="C244" s="163"/>
      <c r="D244" s="163"/>
      <c r="E244" s="64"/>
      <c r="F244" s="65"/>
      <c r="G244" s="65"/>
      <c r="H244" s="65"/>
      <c r="I244" s="65"/>
      <c r="J244" s="65"/>
      <c r="K244" s="65"/>
      <c r="L244" s="65"/>
      <c r="M244" s="44"/>
      <c r="N244" s="44"/>
      <c r="O244" s="44"/>
      <c r="P244" s="17"/>
      <c r="Q244" s="60"/>
      <c r="R244" s="242" t="str">
        <f t="shared" si="7"/>
        <v/>
      </c>
      <c r="S244" s="243" t="str">
        <f t="shared" si="8"/>
        <v>-</v>
      </c>
      <c r="T244" s="61"/>
      <c r="U244" s="61"/>
      <c r="V244" s="61"/>
      <c r="W244" s="61"/>
      <c r="X244" s="61"/>
    </row>
    <row r="245" spans="1:80" s="62" customFormat="1" ht="35.1" customHeight="1">
      <c r="A245" s="63"/>
      <c r="B245" s="163"/>
      <c r="C245" s="163"/>
      <c r="D245" s="163"/>
      <c r="E245" s="64"/>
      <c r="F245" s="65"/>
      <c r="G245" s="65"/>
      <c r="H245" s="65"/>
      <c r="I245" s="65"/>
      <c r="J245" s="65"/>
      <c r="K245" s="65"/>
      <c r="L245" s="65"/>
      <c r="M245" s="44"/>
      <c r="N245" s="44"/>
      <c r="O245" s="44"/>
      <c r="P245" s="17"/>
      <c r="Q245" s="60"/>
      <c r="R245" s="242" t="str">
        <f t="shared" si="7"/>
        <v/>
      </c>
      <c r="S245" s="243" t="str">
        <f t="shared" si="8"/>
        <v>-</v>
      </c>
      <c r="T245" s="61"/>
      <c r="U245" s="61"/>
      <c r="V245" s="61"/>
      <c r="W245" s="61"/>
      <c r="X245" s="61"/>
    </row>
    <row r="246" spans="1:80" s="73" customFormat="1" ht="35.1" customHeight="1">
      <c r="A246" s="66" t="s">
        <v>41</v>
      </c>
      <c r="B246" s="67"/>
      <c r="C246" s="67"/>
      <c r="D246" s="67"/>
      <c r="E246" s="67"/>
      <c r="F246" s="68"/>
      <c r="G246" s="69"/>
      <c r="H246" s="69"/>
      <c r="I246" s="69">
        <f>SUM(I226:I245)</f>
        <v>0</v>
      </c>
      <c r="J246" s="70"/>
      <c r="K246" s="70"/>
      <c r="L246" s="70"/>
      <c r="M246" s="70"/>
      <c r="N246" s="70"/>
      <c r="O246" s="70"/>
      <c r="P246" s="71"/>
      <c r="Q246" s="60"/>
      <c r="R246" s="242" t="str">
        <f t="shared" si="7"/>
        <v/>
      </c>
      <c r="S246" s="243" t="str">
        <f t="shared" si="8"/>
        <v>-</v>
      </c>
      <c r="T246" s="61"/>
      <c r="U246" s="61"/>
      <c r="V246" s="61"/>
      <c r="W246" s="61"/>
      <c r="X246" s="61"/>
      <c r="Y246" s="72"/>
      <c r="Z246" s="72"/>
      <c r="AA246" s="72"/>
      <c r="AB246" s="72"/>
      <c r="AC246" s="72"/>
      <c r="AD246" s="72"/>
      <c r="AE246" s="72"/>
      <c r="AF246" s="72"/>
      <c r="AG246" s="72"/>
      <c r="AH246" s="72"/>
      <c r="AI246" s="72"/>
      <c r="AJ246" s="72"/>
      <c r="AK246" s="72"/>
      <c r="AL246" s="72"/>
      <c r="AM246" s="72"/>
      <c r="AN246" s="72"/>
      <c r="AO246" s="72"/>
      <c r="AP246" s="72"/>
      <c r="AQ246" s="72"/>
      <c r="AR246" s="72"/>
      <c r="AS246" s="72"/>
      <c r="AT246" s="72"/>
      <c r="AU246" s="72"/>
      <c r="AV246" s="72"/>
      <c r="AW246" s="72"/>
      <c r="AX246" s="72"/>
      <c r="AY246" s="72"/>
      <c r="AZ246" s="72"/>
      <c r="BA246" s="72"/>
      <c r="BB246" s="72"/>
      <c r="BC246" s="72"/>
      <c r="BD246" s="72"/>
      <c r="BE246" s="72"/>
      <c r="BF246" s="72"/>
      <c r="BG246" s="72"/>
      <c r="BH246" s="72"/>
      <c r="BI246" s="72"/>
      <c r="BJ246" s="72"/>
      <c r="BK246" s="72"/>
      <c r="BL246" s="72"/>
      <c r="BM246" s="72"/>
      <c r="BN246" s="72"/>
      <c r="BO246" s="72"/>
      <c r="BP246" s="72"/>
      <c r="BQ246" s="72"/>
      <c r="BR246" s="72"/>
      <c r="BS246" s="72"/>
      <c r="BT246" s="72"/>
      <c r="BU246" s="72"/>
      <c r="BV246" s="72"/>
      <c r="BW246" s="72"/>
      <c r="BX246" s="72"/>
      <c r="BY246" s="72"/>
      <c r="BZ246" s="72"/>
      <c r="CA246" s="72"/>
      <c r="CB246" s="72"/>
    </row>
    <row r="247" spans="1:80" s="62" customFormat="1" ht="35.1" customHeight="1">
      <c r="A247" s="58"/>
      <c r="B247" s="161"/>
      <c r="C247" s="161"/>
      <c r="D247" s="161"/>
      <c r="E247" s="82"/>
      <c r="F247" s="59"/>
      <c r="G247" s="59"/>
      <c r="H247" s="59"/>
      <c r="I247" s="59"/>
      <c r="J247" s="59"/>
      <c r="K247" s="59"/>
      <c r="L247" s="59"/>
      <c r="M247" s="43"/>
      <c r="N247" s="43"/>
      <c r="O247" s="43"/>
      <c r="P247" s="16"/>
      <c r="Q247" s="60"/>
      <c r="R247" s="242" t="str">
        <f t="shared" si="7"/>
        <v/>
      </c>
      <c r="S247" s="243" t="str">
        <f t="shared" si="8"/>
        <v>-</v>
      </c>
      <c r="T247" s="61"/>
      <c r="U247" s="61"/>
      <c r="V247" s="61"/>
      <c r="W247" s="61"/>
      <c r="X247" s="61"/>
    </row>
    <row r="248" spans="1:80" s="62" customFormat="1" ht="35.1" customHeight="1">
      <c r="A248" s="92"/>
      <c r="B248" s="162"/>
      <c r="C248" s="162"/>
      <c r="D248" s="162"/>
      <c r="E248" s="96"/>
      <c r="F248" s="93"/>
      <c r="G248" s="93"/>
      <c r="H248" s="93"/>
      <c r="I248" s="93"/>
      <c r="J248" s="93"/>
      <c r="K248" s="93"/>
      <c r="L248" s="93"/>
      <c r="M248" s="94"/>
      <c r="N248" s="94"/>
      <c r="O248" s="94"/>
      <c r="P248" s="95"/>
      <c r="Q248" s="60"/>
      <c r="R248" s="242" t="str">
        <f t="shared" si="7"/>
        <v/>
      </c>
      <c r="S248" s="243" t="str">
        <f t="shared" si="8"/>
        <v>-</v>
      </c>
      <c r="T248" s="61"/>
      <c r="U248" s="61"/>
      <c r="V248" s="61"/>
      <c r="W248" s="61"/>
      <c r="X248" s="61"/>
    </row>
    <row r="249" spans="1:80" s="62" customFormat="1" ht="35.1" customHeight="1">
      <c r="A249" s="63"/>
      <c r="B249" s="163"/>
      <c r="C249" s="163"/>
      <c r="D249" s="163"/>
      <c r="E249" s="83"/>
      <c r="F249" s="65"/>
      <c r="G249" s="65"/>
      <c r="H249" s="65"/>
      <c r="I249" s="65"/>
      <c r="J249" s="65"/>
      <c r="K249" s="65"/>
      <c r="L249" s="65"/>
      <c r="M249" s="44"/>
      <c r="N249" s="44">
        <v>0</v>
      </c>
      <c r="O249" s="44">
        <v>0</v>
      </c>
      <c r="P249" s="17"/>
      <c r="Q249" s="60"/>
      <c r="R249" s="242" t="str">
        <f t="shared" si="7"/>
        <v/>
      </c>
      <c r="S249" s="243" t="str">
        <f t="shared" si="8"/>
        <v>-</v>
      </c>
      <c r="T249" s="61"/>
      <c r="U249" s="61"/>
      <c r="V249" s="61"/>
      <c r="W249" s="61"/>
      <c r="X249" s="61"/>
    </row>
    <row r="250" spans="1:80" s="62" customFormat="1" ht="35.1" customHeight="1">
      <c r="A250" s="63"/>
      <c r="B250" s="163"/>
      <c r="C250" s="163"/>
      <c r="D250" s="163"/>
      <c r="E250" s="84"/>
      <c r="F250" s="65"/>
      <c r="G250" s="65"/>
      <c r="H250" s="65"/>
      <c r="I250" s="65"/>
      <c r="J250" s="65"/>
      <c r="K250" s="65"/>
      <c r="L250" s="65"/>
      <c r="M250" s="44"/>
      <c r="N250" s="44">
        <v>0</v>
      </c>
      <c r="O250" s="44">
        <v>0</v>
      </c>
      <c r="P250" s="17"/>
      <c r="Q250" s="60"/>
      <c r="R250" s="242" t="str">
        <f t="shared" si="7"/>
        <v/>
      </c>
      <c r="S250" s="243" t="str">
        <f t="shared" si="8"/>
        <v>-</v>
      </c>
      <c r="T250" s="61"/>
      <c r="U250" s="61"/>
      <c r="V250" s="61"/>
      <c r="W250" s="61"/>
      <c r="X250" s="61"/>
    </row>
    <row r="251" spans="1:80" s="62" customFormat="1" ht="35.1" customHeight="1">
      <c r="A251" s="63"/>
      <c r="B251" s="163"/>
      <c r="C251" s="163"/>
      <c r="D251" s="163"/>
      <c r="E251" s="89"/>
      <c r="F251" s="65"/>
      <c r="G251" s="65"/>
      <c r="H251" s="65"/>
      <c r="I251" s="65"/>
      <c r="J251" s="65"/>
      <c r="K251" s="65"/>
      <c r="L251" s="65"/>
      <c r="M251" s="44"/>
      <c r="N251" s="44">
        <v>0</v>
      </c>
      <c r="O251" s="44">
        <v>0</v>
      </c>
      <c r="P251" s="17"/>
      <c r="Q251" s="60"/>
      <c r="R251" s="242" t="str">
        <f t="shared" si="7"/>
        <v/>
      </c>
      <c r="S251" s="243" t="str">
        <f t="shared" si="8"/>
        <v>-</v>
      </c>
      <c r="T251" s="61"/>
      <c r="U251" s="61"/>
      <c r="V251" s="61"/>
      <c r="W251" s="61"/>
      <c r="X251" s="61"/>
    </row>
    <row r="252" spans="1:80" s="62" customFormat="1" ht="35.1" customHeight="1">
      <c r="A252" s="63"/>
      <c r="B252" s="163"/>
      <c r="C252" s="163"/>
      <c r="D252" s="163"/>
      <c r="E252" s="89"/>
      <c r="F252" s="65"/>
      <c r="G252" s="65"/>
      <c r="H252" s="65"/>
      <c r="I252" s="65"/>
      <c r="J252" s="65"/>
      <c r="K252" s="65"/>
      <c r="L252" s="65"/>
      <c r="M252" s="44"/>
      <c r="N252" s="44">
        <v>0</v>
      </c>
      <c r="O252" s="44">
        <v>0</v>
      </c>
      <c r="P252" s="17"/>
      <c r="Q252" s="60"/>
      <c r="R252" s="242" t="str">
        <f t="shared" si="7"/>
        <v/>
      </c>
      <c r="S252" s="243" t="str">
        <f t="shared" si="8"/>
        <v>-</v>
      </c>
      <c r="T252" s="61"/>
      <c r="U252" s="61"/>
      <c r="V252" s="61"/>
      <c r="W252" s="61"/>
      <c r="X252" s="61"/>
    </row>
    <row r="253" spans="1:80" s="62" customFormat="1" ht="35.1" customHeight="1">
      <c r="A253" s="63"/>
      <c r="B253" s="163"/>
      <c r="C253" s="163"/>
      <c r="D253" s="163"/>
      <c r="E253" s="89"/>
      <c r="F253" s="65"/>
      <c r="G253" s="65"/>
      <c r="H253" s="65"/>
      <c r="I253" s="65"/>
      <c r="J253" s="65"/>
      <c r="K253" s="65"/>
      <c r="L253" s="65"/>
      <c r="M253" s="44"/>
      <c r="N253" s="44">
        <v>0</v>
      </c>
      <c r="O253" s="44">
        <v>0</v>
      </c>
      <c r="P253" s="17"/>
      <c r="Q253" s="60"/>
      <c r="R253" s="242" t="str">
        <f t="shared" si="7"/>
        <v/>
      </c>
      <c r="S253" s="243" t="str">
        <f t="shared" si="8"/>
        <v>-</v>
      </c>
      <c r="T253" s="61"/>
      <c r="U253" s="61"/>
      <c r="V253" s="61"/>
      <c r="W253" s="61"/>
      <c r="X253" s="61"/>
    </row>
    <row r="254" spans="1:80" s="62" customFormat="1" ht="35.1" customHeight="1">
      <c r="A254" s="63"/>
      <c r="B254" s="163"/>
      <c r="C254" s="163"/>
      <c r="D254" s="163"/>
      <c r="E254" s="89"/>
      <c r="F254" s="65"/>
      <c r="G254" s="65"/>
      <c r="H254" s="65"/>
      <c r="I254" s="65"/>
      <c r="J254" s="65"/>
      <c r="K254" s="65"/>
      <c r="L254" s="65"/>
      <c r="M254" s="44"/>
      <c r="N254" s="44"/>
      <c r="O254" s="44"/>
      <c r="P254" s="17"/>
      <c r="Q254" s="60"/>
      <c r="R254" s="242" t="str">
        <f t="shared" si="7"/>
        <v/>
      </c>
      <c r="S254" s="243" t="str">
        <f t="shared" si="8"/>
        <v>-</v>
      </c>
      <c r="T254" s="61"/>
      <c r="U254" s="61"/>
      <c r="V254" s="61"/>
      <c r="W254" s="61"/>
      <c r="X254" s="61"/>
    </row>
    <row r="255" spans="1:80" s="62" customFormat="1" ht="35.1" customHeight="1">
      <c r="A255" s="63"/>
      <c r="B255" s="163"/>
      <c r="C255" s="163"/>
      <c r="D255" s="163"/>
      <c r="E255" s="89"/>
      <c r="F255" s="65"/>
      <c r="G255" s="65"/>
      <c r="H255" s="65"/>
      <c r="I255" s="65"/>
      <c r="J255" s="65"/>
      <c r="K255" s="65"/>
      <c r="L255" s="65"/>
      <c r="M255" s="44"/>
      <c r="N255" s="44">
        <v>0</v>
      </c>
      <c r="O255" s="44">
        <v>0</v>
      </c>
      <c r="P255" s="17"/>
      <c r="Q255" s="60"/>
      <c r="R255" s="242" t="str">
        <f t="shared" si="7"/>
        <v/>
      </c>
      <c r="S255" s="243" t="str">
        <f t="shared" si="8"/>
        <v>-</v>
      </c>
      <c r="T255" s="61"/>
      <c r="U255" s="61"/>
      <c r="V255" s="61"/>
      <c r="W255" s="61"/>
      <c r="X255" s="61"/>
    </row>
    <row r="256" spans="1:80" s="62" customFormat="1" ht="35.1" customHeight="1">
      <c r="A256" s="63"/>
      <c r="B256" s="163"/>
      <c r="C256" s="163"/>
      <c r="D256" s="163"/>
      <c r="E256" s="89"/>
      <c r="F256" s="65"/>
      <c r="G256" s="65"/>
      <c r="H256" s="65"/>
      <c r="I256" s="65"/>
      <c r="J256" s="65"/>
      <c r="K256" s="65"/>
      <c r="L256" s="65"/>
      <c r="M256" s="44"/>
      <c r="N256" s="44">
        <v>0</v>
      </c>
      <c r="O256" s="44">
        <v>0</v>
      </c>
      <c r="P256" s="17"/>
      <c r="Q256" s="60"/>
      <c r="R256" s="242" t="str">
        <f t="shared" si="7"/>
        <v/>
      </c>
      <c r="S256" s="243" t="str">
        <f t="shared" si="8"/>
        <v>-</v>
      </c>
      <c r="T256" s="61"/>
      <c r="U256" s="61"/>
      <c r="V256" s="61"/>
      <c r="W256" s="61"/>
      <c r="X256" s="61"/>
    </row>
    <row r="257" spans="1:80" s="62" customFormat="1" ht="35.1" customHeight="1">
      <c r="A257" s="63"/>
      <c r="B257" s="163"/>
      <c r="C257" s="163"/>
      <c r="D257" s="163"/>
      <c r="E257" s="89"/>
      <c r="F257" s="65"/>
      <c r="G257" s="65"/>
      <c r="H257" s="65"/>
      <c r="I257" s="65"/>
      <c r="J257" s="65"/>
      <c r="K257" s="65"/>
      <c r="L257" s="65"/>
      <c r="M257" s="44"/>
      <c r="N257" s="44">
        <v>0</v>
      </c>
      <c r="O257" s="44">
        <v>0</v>
      </c>
      <c r="P257" s="17"/>
      <c r="Q257" s="60"/>
      <c r="R257" s="242" t="str">
        <f t="shared" si="7"/>
        <v/>
      </c>
      <c r="S257" s="243" t="str">
        <f t="shared" si="8"/>
        <v>-</v>
      </c>
      <c r="T257" s="61"/>
      <c r="U257" s="61"/>
      <c r="V257" s="61"/>
      <c r="W257" s="61"/>
      <c r="X257" s="61"/>
    </row>
    <row r="258" spans="1:80" s="62" customFormat="1" ht="35.1" customHeight="1">
      <c r="A258" s="63"/>
      <c r="B258" s="163"/>
      <c r="C258" s="163"/>
      <c r="D258" s="163"/>
      <c r="E258" s="64"/>
      <c r="F258" s="65"/>
      <c r="G258" s="65"/>
      <c r="H258" s="65"/>
      <c r="I258" s="65"/>
      <c r="J258" s="65"/>
      <c r="K258" s="65"/>
      <c r="L258" s="65"/>
      <c r="M258" s="44"/>
      <c r="N258" s="44"/>
      <c r="O258" s="44"/>
      <c r="P258" s="17"/>
      <c r="Q258" s="60"/>
      <c r="R258" s="242" t="str">
        <f t="shared" si="7"/>
        <v/>
      </c>
      <c r="S258" s="243" t="str">
        <f t="shared" si="8"/>
        <v>-</v>
      </c>
      <c r="T258" s="61"/>
      <c r="U258" s="61"/>
      <c r="V258" s="61"/>
      <c r="W258" s="61"/>
      <c r="X258" s="61"/>
    </row>
    <row r="259" spans="1:80" s="62" customFormat="1" ht="35.1" customHeight="1">
      <c r="A259" s="63"/>
      <c r="B259" s="163"/>
      <c r="C259" s="163"/>
      <c r="D259" s="163"/>
      <c r="E259" s="64"/>
      <c r="F259" s="65"/>
      <c r="G259" s="65"/>
      <c r="H259" s="65"/>
      <c r="I259" s="65"/>
      <c r="J259" s="65"/>
      <c r="K259" s="65"/>
      <c r="L259" s="65"/>
      <c r="M259" s="44"/>
      <c r="N259" s="44"/>
      <c r="O259" s="44"/>
      <c r="P259" s="17"/>
      <c r="Q259" s="60"/>
      <c r="R259" s="242" t="str">
        <f t="shared" si="7"/>
        <v/>
      </c>
      <c r="S259" s="243" t="str">
        <f t="shared" si="8"/>
        <v>-</v>
      </c>
      <c r="T259" s="61"/>
      <c r="U259" s="61"/>
      <c r="V259" s="61"/>
      <c r="W259" s="61"/>
      <c r="X259" s="61"/>
    </row>
    <row r="260" spans="1:80" s="62" customFormat="1" ht="35.1" customHeight="1">
      <c r="A260" s="63"/>
      <c r="B260" s="163"/>
      <c r="C260" s="163"/>
      <c r="D260" s="163"/>
      <c r="E260" s="64"/>
      <c r="F260" s="65"/>
      <c r="G260" s="65"/>
      <c r="H260" s="65"/>
      <c r="I260" s="65"/>
      <c r="J260" s="65"/>
      <c r="K260" s="65"/>
      <c r="L260" s="65"/>
      <c r="M260" s="44"/>
      <c r="N260" s="44"/>
      <c r="O260" s="44"/>
      <c r="P260" s="17"/>
      <c r="Q260" s="60"/>
      <c r="R260" s="242" t="str">
        <f t="shared" si="7"/>
        <v/>
      </c>
      <c r="S260" s="243" t="str">
        <f t="shared" si="8"/>
        <v>-</v>
      </c>
      <c r="T260" s="61"/>
      <c r="U260" s="61"/>
      <c r="V260" s="61"/>
      <c r="W260" s="61"/>
      <c r="X260" s="61"/>
    </row>
    <row r="261" spans="1:80" s="62" customFormat="1" ht="35.1" customHeight="1">
      <c r="A261" s="63"/>
      <c r="B261" s="163"/>
      <c r="C261" s="163"/>
      <c r="D261" s="163"/>
      <c r="E261" s="64"/>
      <c r="F261" s="65"/>
      <c r="G261" s="65"/>
      <c r="H261" s="65"/>
      <c r="I261" s="65"/>
      <c r="J261" s="65"/>
      <c r="K261" s="65"/>
      <c r="L261" s="65"/>
      <c r="M261" s="44"/>
      <c r="N261" s="44"/>
      <c r="O261" s="44"/>
      <c r="P261" s="17"/>
      <c r="Q261" s="60"/>
      <c r="R261" s="242" t="str">
        <f t="shared" si="7"/>
        <v/>
      </c>
      <c r="S261" s="243" t="str">
        <f t="shared" si="8"/>
        <v>-</v>
      </c>
      <c r="T261" s="61"/>
      <c r="U261" s="61"/>
      <c r="V261" s="61"/>
      <c r="W261" s="61"/>
      <c r="X261" s="61"/>
    </row>
    <row r="262" spans="1:80" s="62" customFormat="1" ht="35.1" customHeight="1">
      <c r="A262" s="63"/>
      <c r="B262" s="163"/>
      <c r="C262" s="163"/>
      <c r="D262" s="163"/>
      <c r="E262" s="64"/>
      <c r="F262" s="65"/>
      <c r="G262" s="65"/>
      <c r="H262" s="65"/>
      <c r="I262" s="65"/>
      <c r="J262" s="65"/>
      <c r="K262" s="65"/>
      <c r="L262" s="65"/>
      <c r="M262" s="44"/>
      <c r="N262" s="44"/>
      <c r="O262" s="44"/>
      <c r="P262" s="17"/>
      <c r="Q262" s="60"/>
      <c r="R262" s="242" t="str">
        <f t="shared" si="7"/>
        <v/>
      </c>
      <c r="S262" s="243" t="str">
        <f t="shared" si="8"/>
        <v>-</v>
      </c>
      <c r="T262" s="61"/>
      <c r="U262" s="61"/>
      <c r="V262" s="61"/>
      <c r="W262" s="61"/>
      <c r="X262" s="61"/>
    </row>
    <row r="263" spans="1:80" s="62" customFormat="1" ht="35.1" customHeight="1">
      <c r="A263" s="63"/>
      <c r="B263" s="163"/>
      <c r="C263" s="163"/>
      <c r="D263" s="163"/>
      <c r="E263" s="64"/>
      <c r="F263" s="65"/>
      <c r="G263" s="65"/>
      <c r="H263" s="65"/>
      <c r="I263" s="65"/>
      <c r="J263" s="65"/>
      <c r="K263" s="65"/>
      <c r="L263" s="65"/>
      <c r="M263" s="44"/>
      <c r="N263" s="44"/>
      <c r="O263" s="44"/>
      <c r="P263" s="17"/>
      <c r="Q263" s="60"/>
      <c r="R263" s="242" t="str">
        <f>CONCATENATE(F263,J263)</f>
        <v/>
      </c>
      <c r="S263" s="243" t="str">
        <f>IF(G263&gt;=I263,"-","err")</f>
        <v>-</v>
      </c>
      <c r="T263" s="61"/>
      <c r="U263" s="61"/>
      <c r="V263" s="61"/>
      <c r="W263" s="61"/>
      <c r="X263" s="61"/>
    </row>
    <row r="264" spans="1:80" s="62" customFormat="1" ht="35.1" customHeight="1">
      <c r="A264" s="63"/>
      <c r="B264" s="163"/>
      <c r="C264" s="163"/>
      <c r="D264" s="163"/>
      <c r="E264" s="64"/>
      <c r="F264" s="65"/>
      <c r="G264" s="65"/>
      <c r="H264" s="65"/>
      <c r="I264" s="65"/>
      <c r="J264" s="65"/>
      <c r="K264" s="65"/>
      <c r="L264" s="65"/>
      <c r="M264" s="44"/>
      <c r="N264" s="44"/>
      <c r="O264" s="44"/>
      <c r="P264" s="17"/>
      <c r="Q264" s="60"/>
      <c r="R264" s="242" t="str">
        <f>CONCATENATE(F264,J264)</f>
        <v/>
      </c>
      <c r="S264" s="243" t="str">
        <f>IF(G264&gt;=I264,"-","err")</f>
        <v>-</v>
      </c>
      <c r="T264" s="61"/>
      <c r="U264" s="61"/>
      <c r="V264" s="61"/>
      <c r="W264" s="61"/>
      <c r="X264" s="61"/>
    </row>
    <row r="265" spans="1:80" s="62" customFormat="1" ht="35.1" customHeight="1">
      <c r="A265" s="63"/>
      <c r="B265" s="163"/>
      <c r="C265" s="163"/>
      <c r="D265" s="163"/>
      <c r="E265" s="64"/>
      <c r="F265" s="65"/>
      <c r="G265" s="65"/>
      <c r="H265" s="65"/>
      <c r="I265" s="65"/>
      <c r="J265" s="65"/>
      <c r="K265" s="65"/>
      <c r="L265" s="65"/>
      <c r="M265" s="44"/>
      <c r="N265" s="44"/>
      <c r="O265" s="44"/>
      <c r="P265" s="17"/>
      <c r="Q265" s="60"/>
      <c r="R265" s="242" t="str">
        <f>CONCATENATE(F265,J265)</f>
        <v/>
      </c>
      <c r="S265" s="243" t="str">
        <f>IF(G265&gt;=I265,"-","err")</f>
        <v>-</v>
      </c>
      <c r="T265" s="61"/>
      <c r="U265" s="61"/>
      <c r="V265" s="61"/>
      <c r="W265" s="61"/>
      <c r="X265" s="61"/>
    </row>
    <row r="266" spans="1:80" s="62" customFormat="1" ht="35.1" customHeight="1">
      <c r="A266" s="63"/>
      <c r="B266" s="163"/>
      <c r="C266" s="163"/>
      <c r="D266" s="163"/>
      <c r="E266" s="64"/>
      <c r="F266" s="65"/>
      <c r="G266" s="65"/>
      <c r="H266" s="65"/>
      <c r="I266" s="65"/>
      <c r="J266" s="65"/>
      <c r="K266" s="65"/>
      <c r="L266" s="65"/>
      <c r="M266" s="44"/>
      <c r="N266" s="44"/>
      <c r="O266" s="44"/>
      <c r="P266" s="17"/>
      <c r="Q266" s="60"/>
      <c r="R266" s="242" t="str">
        <f>CONCATENATE(F266,J266)</f>
        <v/>
      </c>
      <c r="S266" s="243" t="str">
        <f>IF(G266&gt;=I266,"-","err")</f>
        <v>-</v>
      </c>
      <c r="T266" s="61"/>
      <c r="U266" s="61"/>
      <c r="V266" s="61"/>
      <c r="W266" s="61"/>
      <c r="X266" s="61"/>
    </row>
    <row r="267" spans="1:80" s="73" customFormat="1" ht="35.1" customHeight="1">
      <c r="A267" s="66" t="s">
        <v>41</v>
      </c>
      <c r="B267" s="67"/>
      <c r="C267" s="67"/>
      <c r="D267" s="67"/>
      <c r="E267" s="67"/>
      <c r="F267" s="68"/>
      <c r="G267" s="69"/>
      <c r="H267" s="69"/>
      <c r="I267" s="69">
        <f>SUM(I247:I266)</f>
        <v>0</v>
      </c>
      <c r="J267" s="70"/>
      <c r="K267" s="70"/>
      <c r="L267" s="70"/>
      <c r="M267" s="70"/>
      <c r="N267" s="70"/>
      <c r="O267" s="70"/>
      <c r="P267" s="71"/>
      <c r="Q267" s="60"/>
      <c r="R267" s="242" t="str">
        <f>CONCATENATE(F267,J267)</f>
        <v/>
      </c>
      <c r="S267" s="243" t="str">
        <f>IF(G267&gt;=I267,"-","err")</f>
        <v>-</v>
      </c>
      <c r="T267" s="61"/>
      <c r="U267" s="61"/>
      <c r="V267" s="61"/>
      <c r="W267" s="61"/>
      <c r="X267" s="61"/>
      <c r="Y267" s="72"/>
      <c r="Z267" s="72"/>
      <c r="AA267" s="72"/>
      <c r="AB267" s="72"/>
      <c r="AC267" s="72"/>
      <c r="AD267" s="72"/>
      <c r="AE267" s="72"/>
      <c r="AF267" s="72"/>
      <c r="AG267" s="72"/>
      <c r="AH267" s="72"/>
      <c r="AI267" s="72"/>
      <c r="AJ267" s="72"/>
      <c r="AK267" s="72"/>
      <c r="AL267" s="72"/>
      <c r="AM267" s="72"/>
      <c r="AN267" s="72"/>
      <c r="AO267" s="72"/>
      <c r="AP267" s="72"/>
      <c r="AQ267" s="72"/>
      <c r="AR267" s="72"/>
      <c r="AS267" s="72"/>
      <c r="AT267" s="72"/>
      <c r="AU267" s="72"/>
      <c r="AV267" s="72"/>
      <c r="AW267" s="72"/>
      <c r="AX267" s="72"/>
      <c r="AY267" s="72"/>
      <c r="AZ267" s="72"/>
      <c r="BA267" s="72"/>
      <c r="BB267" s="72"/>
      <c r="BC267" s="72"/>
      <c r="BD267" s="72"/>
      <c r="BE267" s="72"/>
      <c r="BF267" s="72"/>
      <c r="BG267" s="72"/>
      <c r="BH267" s="72"/>
      <c r="BI267" s="72"/>
      <c r="BJ267" s="72"/>
      <c r="BK267" s="72"/>
      <c r="BL267" s="72"/>
      <c r="BM267" s="72"/>
      <c r="BN267" s="72"/>
      <c r="BO267" s="72"/>
      <c r="BP267" s="72"/>
      <c r="BQ267" s="72"/>
      <c r="BR267" s="72"/>
      <c r="BS267" s="72"/>
      <c r="BT267" s="72"/>
      <c r="BU267" s="72"/>
      <c r="BV267" s="72"/>
      <c r="BW267" s="72"/>
      <c r="BX267" s="72"/>
      <c r="BY267" s="72"/>
      <c r="BZ267" s="72"/>
      <c r="CA267" s="72"/>
      <c r="CB267" s="72"/>
    </row>
  </sheetData>
  <mergeCells count="10">
    <mergeCell ref="A1:P1"/>
    <mergeCell ref="B4:B5"/>
    <mergeCell ref="D4:D5"/>
    <mergeCell ref="E4:E5"/>
    <mergeCell ref="F4:F5"/>
    <mergeCell ref="G4:G5"/>
    <mergeCell ref="H4:I4"/>
    <mergeCell ref="J4:K4"/>
    <mergeCell ref="L4:N4"/>
    <mergeCell ref="P4:P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B289"/>
  <sheetViews>
    <sheetView showGridLines="0" showZeros="0" view="pageBreakPreview" topLeftCell="B1" zoomScale="115" zoomScaleSheetLayoutView="115" workbookViewId="0">
      <selection activeCell="Q6" sqref="Q6"/>
    </sheetView>
  </sheetViews>
  <sheetFormatPr defaultRowHeight="11.25"/>
  <cols>
    <col min="1" max="1" width="3.88671875" style="182" hidden="1" customWidth="1"/>
    <col min="2" max="2" width="7.77734375" style="182" customWidth="1"/>
    <col min="3" max="3" width="4.21875" style="182" customWidth="1"/>
    <col min="4" max="5" width="7.77734375" style="182" customWidth="1"/>
    <col min="6" max="6" width="3.77734375" style="182" customWidth="1"/>
    <col min="7" max="7" width="7.77734375" style="182" customWidth="1"/>
    <col min="8" max="8" width="5.77734375" style="182" hidden="1" customWidth="1"/>
    <col min="9" max="9" width="6" style="217" bestFit="1" customWidth="1"/>
    <col min="10" max="10" width="7.77734375" style="182" customWidth="1"/>
    <col min="11" max="11" width="15.77734375" style="182" customWidth="1"/>
    <col min="12" max="12" width="8.5546875" style="182" customWidth="1"/>
    <col min="13" max="13" width="12.33203125" style="182" customWidth="1"/>
    <col min="14" max="14" width="25.77734375" style="182" customWidth="1"/>
    <col min="15" max="15" width="10.77734375" style="182" hidden="1" customWidth="1"/>
    <col min="16" max="16" width="4.77734375" style="182" customWidth="1"/>
    <col min="17" max="18" width="8" style="218" customWidth="1"/>
    <col min="19" max="23" width="9.77734375" style="182" customWidth="1"/>
    <col min="24" max="24" width="10.77734375" style="182" customWidth="1"/>
    <col min="25" max="16384" width="8.88671875" style="182"/>
  </cols>
  <sheetData>
    <row r="1" spans="1:24" s="179" customFormat="1" ht="30" customHeight="1">
      <c r="A1" s="407" t="s">
        <v>47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</row>
    <row r="2" spans="1:24" ht="15" customHeight="1">
      <c r="A2" s="180"/>
      <c r="B2" s="180"/>
      <c r="C2" s="180"/>
      <c r="D2" s="180"/>
      <c r="E2" s="180"/>
      <c r="F2" s="180"/>
      <c r="G2" s="180"/>
      <c r="H2" s="180"/>
      <c r="I2" s="181"/>
      <c r="J2" s="180"/>
      <c r="K2" s="180"/>
      <c r="L2" s="180"/>
      <c r="N2" s="183"/>
      <c r="O2" s="184"/>
      <c r="P2" s="185" t="s">
        <v>124</v>
      </c>
      <c r="Q2" s="184"/>
      <c r="R2" s="184"/>
      <c r="S2" s="180"/>
      <c r="T2" s="180"/>
      <c r="U2" s="180"/>
      <c r="V2" s="180"/>
      <c r="W2" s="180"/>
      <c r="X2" s="180"/>
    </row>
    <row r="3" spans="1:24" ht="5.0999999999999996" customHeight="1">
      <c r="A3" s="180"/>
      <c r="B3" s="180"/>
      <c r="C3" s="180"/>
      <c r="D3" s="180"/>
      <c r="E3" s="180"/>
      <c r="F3" s="180"/>
      <c r="G3" s="180"/>
      <c r="H3" s="180"/>
      <c r="I3" s="181"/>
      <c r="J3" s="180"/>
      <c r="K3" s="180"/>
      <c r="L3" s="180"/>
      <c r="M3" s="180"/>
      <c r="N3" s="180"/>
      <c r="O3" s="180"/>
      <c r="P3" s="186"/>
      <c r="Q3" s="187"/>
      <c r="R3" s="187"/>
      <c r="S3" s="180"/>
      <c r="T3" s="180"/>
      <c r="U3" s="180"/>
      <c r="V3" s="180"/>
      <c r="W3" s="180"/>
      <c r="X3" s="180"/>
    </row>
    <row r="4" spans="1:24" s="191" customFormat="1" ht="24.95" customHeight="1">
      <c r="A4" s="188" t="s">
        <v>33</v>
      </c>
      <c r="B4" s="408" t="s">
        <v>170</v>
      </c>
      <c r="C4" s="256" t="s">
        <v>306</v>
      </c>
      <c r="D4" s="367" t="s">
        <v>308</v>
      </c>
      <c r="E4" s="410" t="s">
        <v>59</v>
      </c>
      <c r="F4" s="408" t="s">
        <v>60</v>
      </c>
      <c r="G4" s="393" t="s">
        <v>64</v>
      </c>
      <c r="H4" s="400" t="s">
        <v>63</v>
      </c>
      <c r="I4" s="401"/>
      <c r="J4" s="415" t="s">
        <v>36</v>
      </c>
      <c r="K4" s="416"/>
      <c r="L4" s="415" t="s">
        <v>37</v>
      </c>
      <c r="M4" s="417"/>
      <c r="N4" s="416"/>
      <c r="O4" s="263"/>
      <c r="P4" s="418" t="s">
        <v>27</v>
      </c>
      <c r="Q4" s="189"/>
      <c r="R4" s="189"/>
      <c r="S4" s="190"/>
      <c r="T4" s="190"/>
      <c r="U4" s="190"/>
      <c r="V4" s="190"/>
      <c r="W4" s="190"/>
      <c r="X4" s="190"/>
    </row>
    <row r="5" spans="1:24" s="191" customFormat="1" ht="24.95" customHeight="1">
      <c r="A5" s="192" t="s">
        <v>38</v>
      </c>
      <c r="B5" s="409"/>
      <c r="C5" s="257" t="s">
        <v>307</v>
      </c>
      <c r="D5" s="368"/>
      <c r="E5" s="411"/>
      <c r="F5" s="409"/>
      <c r="G5" s="412"/>
      <c r="H5" s="402"/>
      <c r="I5" s="403"/>
      <c r="J5" s="193" t="s">
        <v>39</v>
      </c>
      <c r="K5" s="194" t="s">
        <v>40</v>
      </c>
      <c r="L5" s="194" t="s">
        <v>311</v>
      </c>
      <c r="M5" s="193" t="s">
        <v>39</v>
      </c>
      <c r="N5" s="193" t="s">
        <v>40</v>
      </c>
      <c r="O5" s="194" t="s">
        <v>54</v>
      </c>
      <c r="P5" s="419"/>
      <c r="Q5" s="195"/>
      <c r="R5" s="195"/>
      <c r="S5" s="196"/>
      <c r="T5" s="196" t="s">
        <v>65</v>
      </c>
      <c r="U5" s="196"/>
      <c r="V5" s="196"/>
      <c r="W5" s="196"/>
      <c r="X5" s="197"/>
    </row>
    <row r="6" spans="1:24" s="176" customFormat="1" ht="24.95" customHeight="1">
      <c r="A6" s="258">
        <v>1</v>
      </c>
      <c r="B6" s="168" t="s">
        <v>46</v>
      </c>
      <c r="C6" s="258">
        <f>A6</f>
        <v>1</v>
      </c>
      <c r="D6" s="258" t="s">
        <v>313</v>
      </c>
      <c r="E6" s="169" t="s">
        <v>93</v>
      </c>
      <c r="F6" s="170" t="s">
        <v>72</v>
      </c>
      <c r="G6" s="170">
        <v>1267</v>
      </c>
      <c r="H6" s="171">
        <v>488</v>
      </c>
      <c r="I6" s="219">
        <v>1267</v>
      </c>
      <c r="J6" s="170" t="s">
        <v>87</v>
      </c>
      <c r="K6" s="170" t="s">
        <v>88</v>
      </c>
      <c r="L6" s="170"/>
      <c r="M6" s="172"/>
      <c r="N6" s="172"/>
      <c r="O6" s="172"/>
      <c r="P6" s="173"/>
      <c r="Q6" s="174"/>
      <c r="R6" s="242" t="str">
        <f>CONCATENATE(F6,J6)</f>
        <v>도국</v>
      </c>
      <c r="S6" s="243" t="str">
        <f>IF(G6&gt;=I6,"-","err")</f>
        <v>-</v>
      </c>
      <c r="T6" s="139" t="str">
        <f t="shared" ref="T6:T21" si="0">IF(H6=0,"1","2")</f>
        <v>2</v>
      </c>
      <c r="U6" s="175"/>
      <c r="V6" s="175"/>
      <c r="W6" s="175"/>
      <c r="X6" s="175"/>
    </row>
    <row r="7" spans="1:24" s="176" customFormat="1" ht="24.95" customHeight="1">
      <c r="A7" s="258">
        <v>2</v>
      </c>
      <c r="B7" s="168" t="s">
        <v>46</v>
      </c>
      <c r="C7" s="258">
        <f>A7</f>
        <v>2</v>
      </c>
      <c r="D7" s="258" t="s">
        <v>313</v>
      </c>
      <c r="E7" s="169" t="s">
        <v>94</v>
      </c>
      <c r="F7" s="170" t="s">
        <v>82</v>
      </c>
      <c r="G7" s="170">
        <v>10</v>
      </c>
      <c r="H7" s="170">
        <v>0</v>
      </c>
      <c r="I7" s="219">
        <v>10</v>
      </c>
      <c r="J7" s="170" t="s">
        <v>87</v>
      </c>
      <c r="K7" s="170" t="s">
        <v>88</v>
      </c>
      <c r="L7" s="170"/>
      <c r="M7" s="172"/>
      <c r="N7" s="172"/>
      <c r="O7" s="172"/>
      <c r="P7" s="173"/>
      <c r="Q7" s="174"/>
      <c r="R7" s="242" t="str">
        <f t="shared" ref="R7:R70" si="1">CONCATENATE(F7,J7)</f>
        <v>구국</v>
      </c>
      <c r="S7" s="243" t="str">
        <f t="shared" ref="S7:S70" si="2">IF(G7&gt;=I7,"-","err")</f>
        <v>-</v>
      </c>
      <c r="T7" s="139" t="str">
        <f t="shared" si="0"/>
        <v>1</v>
      </c>
      <c r="U7" s="175"/>
      <c r="V7" s="175"/>
      <c r="W7" s="175"/>
      <c r="X7" s="175"/>
    </row>
    <row r="8" spans="1:24" s="176" customFormat="1" ht="24.95" customHeight="1">
      <c r="A8" s="258">
        <v>3</v>
      </c>
      <c r="B8" s="168" t="s">
        <v>46</v>
      </c>
      <c r="C8" s="258">
        <v>3</v>
      </c>
      <c r="D8" s="258" t="s">
        <v>313</v>
      </c>
      <c r="E8" s="169" t="s">
        <v>95</v>
      </c>
      <c r="F8" s="170" t="s">
        <v>82</v>
      </c>
      <c r="G8" s="170">
        <v>143</v>
      </c>
      <c r="H8" s="170">
        <v>0</v>
      </c>
      <c r="I8" s="170">
        <v>143</v>
      </c>
      <c r="J8" s="170" t="s">
        <v>87</v>
      </c>
      <c r="K8" s="170" t="s">
        <v>88</v>
      </c>
      <c r="L8" s="170"/>
      <c r="M8" s="172"/>
      <c r="N8" s="172"/>
      <c r="O8" s="172"/>
      <c r="P8" s="173"/>
      <c r="Q8" s="174"/>
      <c r="R8" s="242" t="str">
        <f t="shared" si="1"/>
        <v>구국</v>
      </c>
      <c r="S8" s="243" t="str">
        <f t="shared" si="2"/>
        <v>-</v>
      </c>
      <c r="T8" s="139" t="str">
        <f t="shared" si="0"/>
        <v>1</v>
      </c>
      <c r="U8" s="175"/>
      <c r="V8" s="175"/>
      <c r="W8" s="175"/>
      <c r="X8" s="175"/>
    </row>
    <row r="9" spans="1:24" s="154" customFormat="1" ht="24.95" customHeight="1">
      <c r="A9" s="259">
        <v>4</v>
      </c>
      <c r="B9" s="147" t="s">
        <v>46</v>
      </c>
      <c r="C9" s="259">
        <v>4</v>
      </c>
      <c r="D9" s="259" t="s">
        <v>313</v>
      </c>
      <c r="E9" s="148" t="s">
        <v>269</v>
      </c>
      <c r="F9" s="149" t="s">
        <v>77</v>
      </c>
      <c r="G9" s="149">
        <v>317</v>
      </c>
      <c r="H9" s="149">
        <v>0</v>
      </c>
      <c r="I9" s="149">
        <v>33</v>
      </c>
      <c r="J9" s="149" t="s">
        <v>136</v>
      </c>
      <c r="K9" s="149" t="s">
        <v>137</v>
      </c>
      <c r="L9" s="149"/>
      <c r="M9" s="150" t="s">
        <v>128</v>
      </c>
      <c r="N9" s="150" t="s">
        <v>138</v>
      </c>
      <c r="O9" s="150" t="s">
        <v>271</v>
      </c>
      <c r="P9" s="151"/>
      <c r="Q9" s="152"/>
      <c r="R9" s="242" t="str">
        <f t="shared" si="1"/>
        <v>대유*수</v>
      </c>
      <c r="S9" s="243" t="str">
        <f t="shared" si="2"/>
        <v>-</v>
      </c>
      <c r="T9" s="139" t="str">
        <f t="shared" si="0"/>
        <v>1</v>
      </c>
      <c r="U9" s="153"/>
      <c r="V9" s="153"/>
      <c r="W9" s="153"/>
      <c r="X9" s="153"/>
    </row>
    <row r="10" spans="1:24" s="154" customFormat="1" ht="24.95" customHeight="1">
      <c r="A10" s="259">
        <v>5</v>
      </c>
      <c r="B10" s="147" t="s">
        <v>46</v>
      </c>
      <c r="C10" s="259">
        <v>5</v>
      </c>
      <c r="D10" s="259" t="s">
        <v>313</v>
      </c>
      <c r="E10" s="148" t="s">
        <v>270</v>
      </c>
      <c r="F10" s="149" t="s">
        <v>77</v>
      </c>
      <c r="G10" s="149">
        <v>159</v>
      </c>
      <c r="H10" s="149">
        <v>0</v>
      </c>
      <c r="I10" s="149">
        <v>2</v>
      </c>
      <c r="J10" s="149" t="s">
        <v>136</v>
      </c>
      <c r="K10" s="149" t="s">
        <v>137</v>
      </c>
      <c r="L10" s="149"/>
      <c r="M10" s="150" t="s">
        <v>128</v>
      </c>
      <c r="N10" s="150" t="s">
        <v>138</v>
      </c>
      <c r="O10" s="150" t="s">
        <v>271</v>
      </c>
      <c r="P10" s="151"/>
      <c r="Q10" s="152"/>
      <c r="R10" s="242" t="str">
        <f t="shared" si="1"/>
        <v>대유*수</v>
      </c>
      <c r="S10" s="243" t="str">
        <f t="shared" si="2"/>
        <v>-</v>
      </c>
      <c r="T10" s="139" t="str">
        <f t="shared" si="0"/>
        <v>1</v>
      </c>
      <c r="U10" s="153"/>
      <c r="V10" s="153"/>
      <c r="W10" s="153"/>
      <c r="X10" s="153"/>
    </row>
    <row r="11" spans="1:24" s="154" customFormat="1" ht="24.95" customHeight="1">
      <c r="A11" s="258">
        <v>6</v>
      </c>
      <c r="B11" s="168" t="s">
        <v>46</v>
      </c>
      <c r="C11" s="258">
        <v>6</v>
      </c>
      <c r="D11" s="258" t="s">
        <v>313</v>
      </c>
      <c r="E11" s="220" t="s">
        <v>96</v>
      </c>
      <c r="F11" s="170" t="s">
        <v>5</v>
      </c>
      <c r="G11" s="170">
        <v>60</v>
      </c>
      <c r="H11" s="170">
        <v>60</v>
      </c>
      <c r="I11" s="170">
        <v>60</v>
      </c>
      <c r="J11" s="170" t="s">
        <v>139</v>
      </c>
      <c r="K11" s="170"/>
      <c r="L11" s="170"/>
      <c r="M11" s="172"/>
      <c r="N11" s="172"/>
      <c r="O11" s="172"/>
      <c r="P11" s="173" t="s">
        <v>127</v>
      </c>
      <c r="Q11" s="174"/>
      <c r="R11" s="242" t="str">
        <f t="shared" si="1"/>
        <v>전이*춘</v>
      </c>
      <c r="S11" s="243" t="str">
        <f t="shared" si="2"/>
        <v>-</v>
      </c>
      <c r="T11" s="139" t="str">
        <f t="shared" si="0"/>
        <v>2</v>
      </c>
      <c r="U11" s="175"/>
      <c r="V11" s="153"/>
      <c r="W11" s="153"/>
      <c r="X11" s="153"/>
    </row>
    <row r="12" spans="1:24" s="176" customFormat="1" ht="24.95" customHeight="1">
      <c r="A12" s="258">
        <v>7</v>
      </c>
      <c r="B12" s="168" t="s">
        <v>46</v>
      </c>
      <c r="C12" s="258">
        <v>7</v>
      </c>
      <c r="D12" s="258" t="s">
        <v>313</v>
      </c>
      <c r="E12" s="220" t="s">
        <v>97</v>
      </c>
      <c r="F12" s="170" t="s">
        <v>72</v>
      </c>
      <c r="G12" s="170">
        <v>1081</v>
      </c>
      <c r="H12" s="170">
        <v>972</v>
      </c>
      <c r="I12" s="170">
        <v>948</v>
      </c>
      <c r="J12" s="170" t="s">
        <v>87</v>
      </c>
      <c r="K12" s="170" t="s">
        <v>123</v>
      </c>
      <c r="L12" s="170"/>
      <c r="M12" s="172"/>
      <c r="N12" s="172"/>
      <c r="O12" s="172"/>
      <c r="P12" s="173"/>
      <c r="Q12" s="152"/>
      <c r="R12" s="242" t="str">
        <f t="shared" si="1"/>
        <v>도국</v>
      </c>
      <c r="S12" s="243" t="str">
        <f t="shared" si="2"/>
        <v>-</v>
      </c>
      <c r="T12" s="61" t="str">
        <f t="shared" si="0"/>
        <v>2</v>
      </c>
      <c r="U12" s="153"/>
      <c r="V12" s="175"/>
      <c r="W12" s="175"/>
      <c r="X12" s="175"/>
    </row>
    <row r="13" spans="1:24" s="154" customFormat="1" ht="24.95" customHeight="1">
      <c r="A13" s="258">
        <v>8</v>
      </c>
      <c r="B13" s="168" t="s">
        <v>46</v>
      </c>
      <c r="C13" s="258">
        <v>8</v>
      </c>
      <c r="D13" s="258" t="s">
        <v>313</v>
      </c>
      <c r="E13" s="169" t="s">
        <v>98</v>
      </c>
      <c r="F13" s="170" t="s">
        <v>72</v>
      </c>
      <c r="G13" s="170">
        <v>25</v>
      </c>
      <c r="H13" s="170">
        <v>25</v>
      </c>
      <c r="I13" s="170">
        <v>25</v>
      </c>
      <c r="J13" s="170" t="s">
        <v>140</v>
      </c>
      <c r="K13" s="170" t="s">
        <v>144</v>
      </c>
      <c r="L13" s="170"/>
      <c r="M13" s="172"/>
      <c r="N13" s="172"/>
      <c r="O13" s="172"/>
      <c r="P13" s="173" t="s">
        <v>127</v>
      </c>
      <c r="Q13" s="174"/>
      <c r="R13" s="242" t="str">
        <f t="shared" si="1"/>
        <v>도이*현</v>
      </c>
      <c r="S13" s="243" t="str">
        <f t="shared" si="2"/>
        <v>-</v>
      </c>
      <c r="T13" s="61" t="str">
        <f t="shared" si="0"/>
        <v>2</v>
      </c>
      <c r="U13" s="175"/>
      <c r="V13" s="153"/>
      <c r="W13" s="153"/>
      <c r="X13" s="153"/>
    </row>
    <row r="14" spans="1:24" s="154" customFormat="1" ht="24.95" customHeight="1">
      <c r="A14" s="259">
        <v>9</v>
      </c>
      <c r="B14" s="147" t="s">
        <v>46</v>
      </c>
      <c r="C14" s="259">
        <v>9</v>
      </c>
      <c r="D14" s="259" t="s">
        <v>313</v>
      </c>
      <c r="E14" s="148" t="s">
        <v>272</v>
      </c>
      <c r="F14" s="149" t="s">
        <v>72</v>
      </c>
      <c r="G14" s="149">
        <v>58</v>
      </c>
      <c r="H14" s="149">
        <v>58</v>
      </c>
      <c r="I14" s="149">
        <v>37</v>
      </c>
      <c r="J14" s="149" t="s">
        <v>140</v>
      </c>
      <c r="K14" s="149" t="s">
        <v>144</v>
      </c>
      <c r="L14" s="149"/>
      <c r="M14" s="150"/>
      <c r="N14" s="150"/>
      <c r="O14" s="150"/>
      <c r="P14" s="151" t="s">
        <v>127</v>
      </c>
      <c r="Q14" s="152"/>
      <c r="R14" s="242" t="str">
        <f t="shared" si="1"/>
        <v>도이*현</v>
      </c>
      <c r="S14" s="243" t="str">
        <f t="shared" si="2"/>
        <v>-</v>
      </c>
      <c r="T14" s="61" t="str">
        <f t="shared" si="0"/>
        <v>2</v>
      </c>
      <c r="U14" s="153"/>
      <c r="V14" s="153"/>
      <c r="W14" s="153"/>
      <c r="X14" s="153"/>
    </row>
    <row r="15" spans="1:24" s="154" customFormat="1" ht="24.95" customHeight="1">
      <c r="A15" s="259">
        <v>10</v>
      </c>
      <c r="B15" s="147" t="s">
        <v>46</v>
      </c>
      <c r="C15" s="259">
        <v>10</v>
      </c>
      <c r="D15" s="259" t="s">
        <v>313</v>
      </c>
      <c r="E15" s="148" t="s">
        <v>273</v>
      </c>
      <c r="F15" s="149" t="s">
        <v>72</v>
      </c>
      <c r="G15" s="149">
        <v>41</v>
      </c>
      <c r="H15" s="149">
        <v>41</v>
      </c>
      <c r="I15" s="149">
        <v>7</v>
      </c>
      <c r="J15" s="149" t="s">
        <v>141</v>
      </c>
      <c r="K15" s="149" t="s">
        <v>144</v>
      </c>
      <c r="L15" s="149"/>
      <c r="M15" s="155"/>
      <c r="N15" s="150"/>
      <c r="O15" s="150"/>
      <c r="P15" s="151"/>
      <c r="Q15" s="152"/>
      <c r="R15" s="242" t="str">
        <f t="shared" si="1"/>
        <v>도이*례</v>
      </c>
      <c r="S15" s="243" t="str">
        <f t="shared" si="2"/>
        <v>-</v>
      </c>
      <c r="T15" s="61" t="str">
        <f t="shared" si="0"/>
        <v>2</v>
      </c>
      <c r="U15" s="153"/>
      <c r="V15" s="153"/>
      <c r="W15" s="153"/>
      <c r="X15" s="153"/>
    </row>
    <row r="16" spans="1:24" s="176" customFormat="1" ht="24.95" customHeight="1">
      <c r="A16" s="258">
        <v>11</v>
      </c>
      <c r="B16" s="168" t="s">
        <v>46</v>
      </c>
      <c r="C16" s="258">
        <v>11</v>
      </c>
      <c r="D16" s="258" t="s">
        <v>313</v>
      </c>
      <c r="E16" s="169" t="s">
        <v>99</v>
      </c>
      <c r="F16" s="170" t="s">
        <v>72</v>
      </c>
      <c r="G16" s="170">
        <v>42</v>
      </c>
      <c r="H16" s="170">
        <v>42</v>
      </c>
      <c r="I16" s="170">
        <v>42</v>
      </c>
      <c r="J16" s="170" t="s">
        <v>140</v>
      </c>
      <c r="K16" s="170" t="s">
        <v>144</v>
      </c>
      <c r="L16" s="170"/>
      <c r="M16" s="172"/>
      <c r="N16" s="172"/>
      <c r="O16" s="172"/>
      <c r="P16" s="173" t="s">
        <v>127</v>
      </c>
      <c r="Q16" s="174"/>
      <c r="R16" s="242" t="str">
        <f t="shared" si="1"/>
        <v>도이*현</v>
      </c>
      <c r="S16" s="243" t="str">
        <f t="shared" si="2"/>
        <v>-</v>
      </c>
      <c r="T16" s="61" t="str">
        <f t="shared" si="0"/>
        <v>2</v>
      </c>
      <c r="U16" s="175"/>
      <c r="V16" s="175"/>
      <c r="W16" s="175"/>
      <c r="X16" s="175"/>
    </row>
    <row r="17" spans="1:80" s="176" customFormat="1" ht="24.95" customHeight="1">
      <c r="A17" s="258">
        <v>12</v>
      </c>
      <c r="B17" s="168" t="s">
        <v>46</v>
      </c>
      <c r="C17" s="258">
        <v>12</v>
      </c>
      <c r="D17" s="258" t="s">
        <v>313</v>
      </c>
      <c r="E17" s="220" t="s">
        <v>100</v>
      </c>
      <c r="F17" s="170" t="s">
        <v>72</v>
      </c>
      <c r="G17" s="170">
        <v>48</v>
      </c>
      <c r="H17" s="170">
        <v>48</v>
      </c>
      <c r="I17" s="170">
        <v>12</v>
      </c>
      <c r="J17" s="170" t="s">
        <v>89</v>
      </c>
      <c r="K17" s="170" t="s">
        <v>90</v>
      </c>
      <c r="L17" s="170"/>
      <c r="M17" s="172"/>
      <c r="N17" s="172"/>
      <c r="O17" s="172"/>
      <c r="P17" s="173"/>
      <c r="Q17" s="174"/>
      <c r="R17" s="242" t="str">
        <f t="shared" si="1"/>
        <v>도공</v>
      </c>
      <c r="S17" s="243" t="str">
        <f t="shared" si="2"/>
        <v>-</v>
      </c>
      <c r="T17" s="61" t="str">
        <f t="shared" si="0"/>
        <v>2</v>
      </c>
      <c r="U17" s="175"/>
      <c r="V17" s="175"/>
      <c r="W17" s="175"/>
      <c r="X17" s="175"/>
    </row>
    <row r="18" spans="1:80" s="176" customFormat="1" ht="24.95" customHeight="1">
      <c r="A18" s="258">
        <v>13</v>
      </c>
      <c r="B18" s="168" t="s">
        <v>46</v>
      </c>
      <c r="C18" s="258">
        <v>13</v>
      </c>
      <c r="D18" s="258" t="s">
        <v>313</v>
      </c>
      <c r="E18" s="169" t="s">
        <v>101</v>
      </c>
      <c r="F18" s="170" t="s">
        <v>72</v>
      </c>
      <c r="G18" s="170">
        <v>36</v>
      </c>
      <c r="H18" s="170">
        <v>36</v>
      </c>
      <c r="I18" s="170">
        <v>11</v>
      </c>
      <c r="J18" s="170" t="s">
        <v>89</v>
      </c>
      <c r="K18" s="170" t="s">
        <v>90</v>
      </c>
      <c r="L18" s="170"/>
      <c r="M18" s="172"/>
      <c r="N18" s="172"/>
      <c r="O18" s="172"/>
      <c r="P18" s="173"/>
      <c r="Q18" s="152"/>
      <c r="R18" s="242" t="str">
        <f t="shared" si="1"/>
        <v>도공</v>
      </c>
      <c r="S18" s="243" t="str">
        <f t="shared" si="2"/>
        <v>-</v>
      </c>
      <c r="T18" s="61" t="str">
        <f t="shared" si="0"/>
        <v>2</v>
      </c>
      <c r="U18" s="153"/>
      <c r="V18" s="175"/>
      <c r="W18" s="175"/>
      <c r="X18" s="175"/>
    </row>
    <row r="19" spans="1:80" s="154" customFormat="1" ht="24.95" customHeight="1">
      <c r="A19" s="259">
        <v>14</v>
      </c>
      <c r="B19" s="147" t="s">
        <v>46</v>
      </c>
      <c r="C19" s="259">
        <v>14</v>
      </c>
      <c r="D19" s="259" t="s">
        <v>313</v>
      </c>
      <c r="E19" s="156" t="s">
        <v>274</v>
      </c>
      <c r="F19" s="149" t="s">
        <v>72</v>
      </c>
      <c r="G19" s="149">
        <v>43</v>
      </c>
      <c r="H19" s="149">
        <v>30</v>
      </c>
      <c r="I19" s="149">
        <v>10</v>
      </c>
      <c r="J19" s="149" t="s">
        <v>142</v>
      </c>
      <c r="K19" s="149" t="s">
        <v>144</v>
      </c>
      <c r="L19" s="149"/>
      <c r="M19" s="150"/>
      <c r="N19" s="150"/>
      <c r="O19" s="150"/>
      <c r="P19" s="151"/>
      <c r="Q19" s="152"/>
      <c r="R19" s="242" t="str">
        <f t="shared" si="1"/>
        <v>도김*순</v>
      </c>
      <c r="S19" s="243" t="str">
        <f t="shared" si="2"/>
        <v>-</v>
      </c>
      <c r="T19" s="61" t="str">
        <f t="shared" si="0"/>
        <v>2</v>
      </c>
      <c r="U19" s="153"/>
      <c r="V19" s="153"/>
      <c r="W19" s="153"/>
      <c r="X19" s="153"/>
    </row>
    <row r="20" spans="1:80" s="176" customFormat="1" ht="24.95" customHeight="1">
      <c r="A20" s="258">
        <v>15</v>
      </c>
      <c r="B20" s="168" t="s">
        <v>46</v>
      </c>
      <c r="C20" s="258">
        <v>15</v>
      </c>
      <c r="D20" s="258" t="s">
        <v>313</v>
      </c>
      <c r="E20" s="220" t="s">
        <v>102</v>
      </c>
      <c r="F20" s="170" t="s">
        <v>72</v>
      </c>
      <c r="G20" s="170">
        <v>115</v>
      </c>
      <c r="H20" s="170">
        <v>115</v>
      </c>
      <c r="I20" s="170">
        <v>115</v>
      </c>
      <c r="J20" s="170" t="s">
        <v>139</v>
      </c>
      <c r="K20" s="170" t="s">
        <v>144</v>
      </c>
      <c r="L20" s="170"/>
      <c r="M20" s="172"/>
      <c r="N20" s="172"/>
      <c r="O20" s="172"/>
      <c r="P20" s="173"/>
      <c r="Q20" s="174"/>
      <c r="R20" s="242" t="str">
        <f t="shared" si="1"/>
        <v>도이*춘</v>
      </c>
      <c r="S20" s="243" t="str">
        <f t="shared" si="2"/>
        <v>-</v>
      </c>
      <c r="T20" s="61" t="str">
        <f t="shared" si="0"/>
        <v>2</v>
      </c>
      <c r="U20" s="175"/>
      <c r="V20" s="175"/>
      <c r="W20" s="175"/>
      <c r="X20" s="175"/>
    </row>
    <row r="21" spans="1:80" s="154" customFormat="1" ht="24.95" customHeight="1">
      <c r="A21" s="259">
        <v>16</v>
      </c>
      <c r="B21" s="147" t="s">
        <v>46</v>
      </c>
      <c r="C21" s="259">
        <v>16</v>
      </c>
      <c r="D21" s="259" t="s">
        <v>313</v>
      </c>
      <c r="E21" s="148" t="s">
        <v>275</v>
      </c>
      <c r="F21" s="149" t="s">
        <v>72</v>
      </c>
      <c r="G21" s="149">
        <v>295</v>
      </c>
      <c r="H21" s="149">
        <v>295</v>
      </c>
      <c r="I21" s="149">
        <v>161</v>
      </c>
      <c r="J21" s="149" t="s">
        <v>143</v>
      </c>
      <c r="K21" s="149"/>
      <c r="L21" s="149"/>
      <c r="M21" s="150"/>
      <c r="N21" s="150"/>
      <c r="O21" s="150"/>
      <c r="P21" s="151" t="s">
        <v>127</v>
      </c>
      <c r="Q21" s="152"/>
      <c r="R21" s="242" t="str">
        <f t="shared" si="1"/>
        <v>도방*준</v>
      </c>
      <c r="S21" s="243" t="str">
        <f t="shared" si="2"/>
        <v>-</v>
      </c>
      <c r="T21" s="61" t="str">
        <f t="shared" si="0"/>
        <v>2</v>
      </c>
      <c r="U21" s="153"/>
      <c r="V21" s="153"/>
      <c r="W21" s="153"/>
      <c r="X21" s="153"/>
    </row>
    <row r="22" spans="1:80" s="176" customFormat="1" ht="24.95" customHeight="1">
      <c r="A22" s="258">
        <v>17</v>
      </c>
      <c r="B22" s="168" t="s">
        <v>46</v>
      </c>
      <c r="C22" s="258">
        <v>17</v>
      </c>
      <c r="D22" s="258" t="s">
        <v>313</v>
      </c>
      <c r="E22" s="220" t="s">
        <v>103</v>
      </c>
      <c r="F22" s="170" t="s">
        <v>72</v>
      </c>
      <c r="G22" s="170">
        <v>58</v>
      </c>
      <c r="H22" s="170">
        <v>58</v>
      </c>
      <c r="I22" s="170">
        <v>58</v>
      </c>
      <c r="J22" s="170" t="s">
        <v>192</v>
      </c>
      <c r="K22" s="170" t="s">
        <v>144</v>
      </c>
      <c r="L22" s="170"/>
      <c r="M22" s="172"/>
      <c r="N22" s="172"/>
      <c r="O22" s="172"/>
      <c r="P22" s="173"/>
      <c r="Q22" s="174"/>
      <c r="R22" s="242" t="str">
        <f t="shared" si="1"/>
        <v>도방*배</v>
      </c>
      <c r="S22" s="243" t="str">
        <f t="shared" si="2"/>
        <v>-</v>
      </c>
      <c r="T22" s="175"/>
      <c r="U22" s="175"/>
      <c r="V22" s="175"/>
      <c r="W22" s="175"/>
      <c r="X22" s="175"/>
    </row>
    <row r="23" spans="1:80" s="176" customFormat="1" ht="24.95" customHeight="1">
      <c r="A23" s="258">
        <v>18</v>
      </c>
      <c r="B23" s="168" t="s">
        <v>46</v>
      </c>
      <c r="C23" s="258">
        <v>18</v>
      </c>
      <c r="D23" s="258" t="s">
        <v>313</v>
      </c>
      <c r="E23" s="220" t="s">
        <v>104</v>
      </c>
      <c r="F23" s="170" t="s">
        <v>72</v>
      </c>
      <c r="G23" s="170">
        <v>8</v>
      </c>
      <c r="H23" s="170">
        <v>8</v>
      </c>
      <c r="I23" s="170">
        <v>8</v>
      </c>
      <c r="J23" s="170" t="s">
        <v>89</v>
      </c>
      <c r="K23" s="170" t="s">
        <v>90</v>
      </c>
      <c r="L23" s="170"/>
      <c r="M23" s="172"/>
      <c r="N23" s="172"/>
      <c r="O23" s="172"/>
      <c r="P23" s="173"/>
      <c r="Q23" s="174"/>
      <c r="R23" s="242" t="str">
        <f t="shared" si="1"/>
        <v>도공</v>
      </c>
      <c r="S23" s="243" t="str">
        <f t="shared" si="2"/>
        <v>-</v>
      </c>
      <c r="T23" s="175"/>
      <c r="U23" s="175"/>
      <c r="V23" s="175"/>
      <c r="W23" s="175"/>
      <c r="X23" s="175"/>
    </row>
    <row r="24" spans="1:80" s="176" customFormat="1" ht="24.95" customHeight="1">
      <c r="A24" s="258">
        <v>19</v>
      </c>
      <c r="B24" s="168" t="s">
        <v>46</v>
      </c>
      <c r="C24" s="258">
        <v>19</v>
      </c>
      <c r="D24" s="258" t="s">
        <v>313</v>
      </c>
      <c r="E24" s="220" t="s">
        <v>105</v>
      </c>
      <c r="F24" s="170" t="s">
        <v>72</v>
      </c>
      <c r="G24" s="170">
        <v>66</v>
      </c>
      <c r="H24" s="170">
        <v>66</v>
      </c>
      <c r="I24" s="170">
        <v>66</v>
      </c>
      <c r="J24" s="170" t="s">
        <v>89</v>
      </c>
      <c r="K24" s="170" t="s">
        <v>90</v>
      </c>
      <c r="L24" s="170"/>
      <c r="M24" s="172"/>
      <c r="N24" s="172"/>
      <c r="O24" s="172"/>
      <c r="P24" s="173"/>
      <c r="Q24" s="174"/>
      <c r="R24" s="242" t="str">
        <f t="shared" si="1"/>
        <v>도공</v>
      </c>
      <c r="S24" s="243" t="str">
        <f t="shared" si="2"/>
        <v>-</v>
      </c>
      <c r="T24" s="175"/>
      <c r="U24" s="175"/>
      <c r="V24" s="175"/>
      <c r="W24" s="175"/>
      <c r="X24" s="175"/>
    </row>
    <row r="25" spans="1:80" s="176" customFormat="1" ht="24.95" customHeight="1">
      <c r="A25" s="258">
        <v>20</v>
      </c>
      <c r="B25" s="168" t="s">
        <v>46</v>
      </c>
      <c r="C25" s="258">
        <v>20</v>
      </c>
      <c r="D25" s="258" t="s">
        <v>313</v>
      </c>
      <c r="E25" s="220" t="s">
        <v>106</v>
      </c>
      <c r="F25" s="170" t="s">
        <v>72</v>
      </c>
      <c r="G25" s="170">
        <v>507</v>
      </c>
      <c r="H25" s="170">
        <v>507</v>
      </c>
      <c r="I25" s="170">
        <v>369</v>
      </c>
      <c r="J25" s="170" t="s">
        <v>89</v>
      </c>
      <c r="K25" s="170" t="s">
        <v>90</v>
      </c>
      <c r="L25" s="170"/>
      <c r="M25" s="172"/>
      <c r="N25" s="172"/>
      <c r="O25" s="172"/>
      <c r="P25" s="173"/>
      <c r="Q25" s="152"/>
      <c r="R25" s="242" t="str">
        <f t="shared" si="1"/>
        <v>도공</v>
      </c>
      <c r="S25" s="243" t="str">
        <f t="shared" si="2"/>
        <v>-</v>
      </c>
      <c r="T25" s="153"/>
      <c r="U25" s="153"/>
      <c r="V25" s="175"/>
      <c r="W25" s="175"/>
      <c r="X25" s="175"/>
    </row>
    <row r="26" spans="1:80" s="154" customFormat="1" ht="24.95" customHeight="1">
      <c r="A26" s="259">
        <v>21</v>
      </c>
      <c r="B26" s="147" t="s">
        <v>46</v>
      </c>
      <c r="C26" s="259">
        <v>21</v>
      </c>
      <c r="D26" s="259" t="s">
        <v>313</v>
      </c>
      <c r="E26" s="148" t="s">
        <v>276</v>
      </c>
      <c r="F26" s="149" t="s">
        <v>77</v>
      </c>
      <c r="G26" s="149">
        <v>110</v>
      </c>
      <c r="H26" s="149">
        <v>0</v>
      </c>
      <c r="I26" s="149">
        <v>7</v>
      </c>
      <c r="J26" s="149" t="s">
        <v>146</v>
      </c>
      <c r="K26" s="149" t="s">
        <v>145</v>
      </c>
      <c r="L26" s="149"/>
      <c r="M26" s="150"/>
      <c r="N26" s="150"/>
      <c r="O26" s="150"/>
      <c r="P26" s="151"/>
      <c r="Q26" s="152"/>
      <c r="R26" s="242" t="str">
        <f t="shared" si="1"/>
        <v>대박*택</v>
      </c>
      <c r="S26" s="243" t="str">
        <f t="shared" si="2"/>
        <v>-</v>
      </c>
      <c r="T26" s="153"/>
      <c r="U26" s="153"/>
      <c r="V26" s="153"/>
      <c r="W26" s="153"/>
      <c r="X26" s="153"/>
    </row>
    <row r="27" spans="1:80" s="154" customFormat="1" ht="24.95" customHeight="1">
      <c r="A27" s="259">
        <v>22</v>
      </c>
      <c r="B27" s="147" t="s">
        <v>46</v>
      </c>
      <c r="C27" s="259">
        <v>22</v>
      </c>
      <c r="D27" s="259" t="s">
        <v>313</v>
      </c>
      <c r="E27" s="156" t="s">
        <v>277</v>
      </c>
      <c r="F27" s="149" t="s">
        <v>5</v>
      </c>
      <c r="G27" s="149">
        <v>1316</v>
      </c>
      <c r="H27" s="149">
        <v>5</v>
      </c>
      <c r="I27" s="149">
        <v>214</v>
      </c>
      <c r="J27" s="149" t="s">
        <v>146</v>
      </c>
      <c r="K27" s="149" t="s">
        <v>145</v>
      </c>
      <c r="L27" s="149"/>
      <c r="M27" s="150"/>
      <c r="N27" s="150"/>
      <c r="O27" s="150"/>
      <c r="P27" s="151"/>
      <c r="Q27" s="152"/>
      <c r="R27" s="242" t="str">
        <f t="shared" si="1"/>
        <v>전박*택</v>
      </c>
      <c r="S27" s="243" t="str">
        <f t="shared" si="2"/>
        <v>-</v>
      </c>
      <c r="T27" s="153"/>
      <c r="U27" s="153"/>
      <c r="V27" s="153"/>
      <c r="W27" s="153"/>
      <c r="X27" s="153"/>
    </row>
    <row r="28" spans="1:80" s="176" customFormat="1" ht="24.95" customHeight="1">
      <c r="A28" s="258">
        <v>23</v>
      </c>
      <c r="B28" s="168" t="s">
        <v>46</v>
      </c>
      <c r="C28" s="258">
        <v>23</v>
      </c>
      <c r="D28" s="258" t="s">
        <v>313</v>
      </c>
      <c r="E28" s="169" t="s">
        <v>107</v>
      </c>
      <c r="F28" s="170" t="s">
        <v>72</v>
      </c>
      <c r="G28" s="170">
        <v>198</v>
      </c>
      <c r="H28" s="170">
        <v>198</v>
      </c>
      <c r="I28" s="219">
        <v>198</v>
      </c>
      <c r="J28" s="170" t="s">
        <v>87</v>
      </c>
      <c r="K28" s="170" t="s">
        <v>123</v>
      </c>
      <c r="L28" s="170"/>
      <c r="M28" s="172"/>
      <c r="N28" s="172"/>
      <c r="O28" s="172"/>
      <c r="P28" s="173"/>
      <c r="Q28" s="174"/>
      <c r="R28" s="242" t="str">
        <f t="shared" si="1"/>
        <v>도국</v>
      </c>
      <c r="S28" s="243" t="str">
        <f t="shared" si="2"/>
        <v>-</v>
      </c>
      <c r="T28" s="175"/>
      <c r="U28" s="175"/>
      <c r="V28" s="175"/>
      <c r="W28" s="175"/>
      <c r="X28" s="175"/>
    </row>
    <row r="29" spans="1:80" s="176" customFormat="1" ht="24.95" customHeight="1">
      <c r="A29" s="258">
        <v>24</v>
      </c>
      <c r="B29" s="168" t="s">
        <v>46</v>
      </c>
      <c r="C29" s="258">
        <v>24</v>
      </c>
      <c r="D29" s="258" t="s">
        <v>313</v>
      </c>
      <c r="E29" s="169" t="s">
        <v>108</v>
      </c>
      <c r="F29" s="170" t="s">
        <v>72</v>
      </c>
      <c r="G29" s="170">
        <v>108</v>
      </c>
      <c r="H29" s="170">
        <v>108</v>
      </c>
      <c r="I29" s="219">
        <v>108</v>
      </c>
      <c r="J29" s="170" t="s">
        <v>89</v>
      </c>
      <c r="K29" s="170" t="s">
        <v>90</v>
      </c>
      <c r="L29" s="170"/>
      <c r="M29" s="172"/>
      <c r="N29" s="172"/>
      <c r="O29" s="172"/>
      <c r="P29" s="173"/>
      <c r="Q29" s="174"/>
      <c r="R29" s="242" t="str">
        <f t="shared" si="1"/>
        <v>도공</v>
      </c>
      <c r="S29" s="243" t="str">
        <f t="shared" si="2"/>
        <v>-</v>
      </c>
      <c r="T29" s="175"/>
      <c r="U29" s="175"/>
      <c r="V29" s="175"/>
      <c r="W29" s="175"/>
      <c r="X29" s="175"/>
    </row>
    <row r="30" spans="1:80" s="176" customFormat="1" ht="24.95" customHeight="1">
      <c r="A30" s="258">
        <v>25</v>
      </c>
      <c r="B30" s="168" t="s">
        <v>46</v>
      </c>
      <c r="C30" s="258">
        <v>25</v>
      </c>
      <c r="D30" s="258" t="s">
        <v>313</v>
      </c>
      <c r="E30" s="220" t="s">
        <v>109</v>
      </c>
      <c r="F30" s="170" t="s">
        <v>82</v>
      </c>
      <c r="G30" s="170">
        <v>5508</v>
      </c>
      <c r="H30" s="170">
        <v>0</v>
      </c>
      <c r="I30" s="170">
        <v>86</v>
      </c>
      <c r="J30" s="170" t="s">
        <v>87</v>
      </c>
      <c r="K30" s="170" t="s">
        <v>88</v>
      </c>
      <c r="L30" s="170"/>
      <c r="M30" s="172"/>
      <c r="N30" s="172"/>
      <c r="O30" s="172"/>
      <c r="P30" s="173"/>
      <c r="Q30" s="174"/>
      <c r="R30" s="242" t="str">
        <f t="shared" si="1"/>
        <v>구국</v>
      </c>
      <c r="S30" s="243" t="str">
        <f t="shared" si="2"/>
        <v>-</v>
      </c>
      <c r="T30" s="175"/>
      <c r="U30" s="175"/>
      <c r="V30" s="175"/>
      <c r="W30" s="175"/>
      <c r="X30" s="175"/>
    </row>
    <row r="31" spans="1:80" s="211" customFormat="1" ht="24.95" hidden="1" customHeight="1">
      <c r="A31" s="207" t="s">
        <v>200</v>
      </c>
      <c r="B31" s="207"/>
      <c r="C31" s="207"/>
      <c r="D31" s="207"/>
      <c r="E31" s="207"/>
      <c r="F31" s="141"/>
      <c r="G31" s="208"/>
      <c r="H31" s="208">
        <f>SUM(H6:H30)</f>
        <v>3160</v>
      </c>
      <c r="I31" s="208">
        <f>SUM(I6:I30)</f>
        <v>3997</v>
      </c>
      <c r="J31" s="141"/>
      <c r="K31" s="141"/>
      <c r="L31" s="141"/>
      <c r="M31" s="141"/>
      <c r="N31" s="141"/>
      <c r="O31" s="141"/>
      <c r="P31" s="209"/>
      <c r="Q31" s="138"/>
      <c r="R31" s="242" t="str">
        <f t="shared" si="1"/>
        <v/>
      </c>
      <c r="S31" s="243" t="str">
        <f t="shared" si="2"/>
        <v>err</v>
      </c>
      <c r="T31" s="139"/>
      <c r="U31" s="139"/>
      <c r="V31" s="139"/>
      <c r="W31" s="139"/>
      <c r="X31" s="139"/>
      <c r="Y31" s="210"/>
      <c r="Z31" s="210"/>
      <c r="AA31" s="210"/>
      <c r="AB31" s="210"/>
      <c r="AC31" s="210"/>
      <c r="AD31" s="210"/>
      <c r="AE31" s="210"/>
      <c r="AF31" s="210"/>
      <c r="AG31" s="210"/>
      <c r="AH31" s="210"/>
      <c r="AI31" s="210"/>
      <c r="AJ31" s="210"/>
      <c r="AK31" s="210"/>
      <c r="AL31" s="210"/>
      <c r="AM31" s="210"/>
      <c r="AN31" s="210"/>
      <c r="AO31" s="210"/>
      <c r="AP31" s="210"/>
      <c r="AQ31" s="210"/>
      <c r="AR31" s="210"/>
      <c r="AS31" s="210"/>
      <c r="AT31" s="210"/>
      <c r="AU31" s="210"/>
      <c r="AV31" s="210"/>
      <c r="AW31" s="210"/>
      <c r="AX31" s="210"/>
      <c r="AY31" s="210"/>
      <c r="AZ31" s="210"/>
      <c r="BA31" s="210"/>
      <c r="BB31" s="210"/>
      <c r="BC31" s="210"/>
      <c r="BD31" s="210"/>
      <c r="BE31" s="210"/>
      <c r="BF31" s="210"/>
      <c r="BG31" s="210"/>
      <c r="BH31" s="210"/>
      <c r="BI31" s="210"/>
      <c r="BJ31" s="210"/>
      <c r="BK31" s="210"/>
      <c r="BL31" s="210"/>
      <c r="BM31" s="210"/>
      <c r="BN31" s="210"/>
      <c r="BO31" s="210"/>
      <c r="BP31" s="210"/>
      <c r="BQ31" s="210"/>
      <c r="BR31" s="210"/>
      <c r="BS31" s="210"/>
      <c r="BT31" s="210"/>
      <c r="BU31" s="210"/>
      <c r="BV31" s="210"/>
      <c r="BW31" s="210"/>
      <c r="BX31" s="210"/>
      <c r="BY31" s="210"/>
      <c r="BZ31" s="210"/>
      <c r="CA31" s="210"/>
      <c r="CB31" s="210"/>
    </row>
    <row r="32" spans="1:80" s="176" customFormat="1" ht="24.95" customHeight="1">
      <c r="A32" s="258">
        <v>26</v>
      </c>
      <c r="B32" s="168" t="s">
        <v>46</v>
      </c>
      <c r="C32" s="258">
        <v>26</v>
      </c>
      <c r="D32" s="258" t="s">
        <v>313</v>
      </c>
      <c r="E32" s="220" t="s">
        <v>110</v>
      </c>
      <c r="F32" s="170" t="s">
        <v>72</v>
      </c>
      <c r="G32" s="170">
        <v>1640</v>
      </c>
      <c r="H32" s="170">
        <v>0</v>
      </c>
      <c r="I32" s="170">
        <v>21</v>
      </c>
      <c r="J32" s="170" t="s">
        <v>87</v>
      </c>
      <c r="K32" s="170" t="s">
        <v>88</v>
      </c>
      <c r="L32" s="170"/>
      <c r="M32" s="172"/>
      <c r="N32" s="172"/>
      <c r="O32" s="172"/>
      <c r="P32" s="173"/>
      <c r="Q32" s="174"/>
      <c r="R32" s="242" t="str">
        <f t="shared" si="1"/>
        <v>도국</v>
      </c>
      <c r="S32" s="243" t="str">
        <f t="shared" si="2"/>
        <v>-</v>
      </c>
      <c r="T32" s="175"/>
      <c r="U32" s="175"/>
      <c r="V32" s="175"/>
      <c r="W32" s="175"/>
      <c r="X32" s="175"/>
    </row>
    <row r="33" spans="1:24" s="176" customFormat="1" ht="24.95" customHeight="1">
      <c r="A33" s="258">
        <v>27</v>
      </c>
      <c r="B33" s="168" t="s">
        <v>46</v>
      </c>
      <c r="C33" s="258">
        <v>27</v>
      </c>
      <c r="D33" s="258" t="s">
        <v>313</v>
      </c>
      <c r="E33" s="169" t="s">
        <v>111</v>
      </c>
      <c r="F33" s="170" t="s">
        <v>72</v>
      </c>
      <c r="G33" s="170">
        <v>1547</v>
      </c>
      <c r="H33" s="170">
        <v>0</v>
      </c>
      <c r="I33" s="170">
        <v>1</v>
      </c>
      <c r="J33" s="170" t="s">
        <v>87</v>
      </c>
      <c r="K33" s="170" t="s">
        <v>88</v>
      </c>
      <c r="L33" s="170"/>
      <c r="M33" s="172"/>
      <c r="N33" s="172"/>
      <c r="O33" s="172"/>
      <c r="P33" s="173"/>
      <c r="Q33" s="174"/>
      <c r="R33" s="242" t="str">
        <f t="shared" si="1"/>
        <v>도국</v>
      </c>
      <c r="S33" s="243" t="str">
        <f t="shared" si="2"/>
        <v>-</v>
      </c>
      <c r="T33" s="175"/>
      <c r="U33" s="175"/>
      <c r="V33" s="175"/>
      <c r="W33" s="175"/>
      <c r="X33" s="175"/>
    </row>
    <row r="34" spans="1:24" s="154" customFormat="1" ht="24.95" customHeight="1">
      <c r="A34" s="259">
        <v>28</v>
      </c>
      <c r="B34" s="147" t="s">
        <v>46</v>
      </c>
      <c r="C34" s="259">
        <v>28</v>
      </c>
      <c r="D34" s="259" t="s">
        <v>313</v>
      </c>
      <c r="E34" s="156" t="s">
        <v>279</v>
      </c>
      <c r="F34" s="149" t="s">
        <v>6</v>
      </c>
      <c r="G34" s="149">
        <v>3674</v>
      </c>
      <c r="H34" s="149">
        <v>0</v>
      </c>
      <c r="I34" s="149">
        <v>128</v>
      </c>
      <c r="J34" s="149" t="s">
        <v>142</v>
      </c>
      <c r="K34" s="149" t="s">
        <v>144</v>
      </c>
      <c r="L34" s="149"/>
      <c r="M34" s="150" t="s">
        <v>130</v>
      </c>
      <c r="N34" s="150" t="s">
        <v>147</v>
      </c>
      <c r="O34" s="150" t="s">
        <v>129</v>
      </c>
      <c r="P34" s="151"/>
      <c r="Q34" s="152"/>
      <c r="R34" s="242" t="str">
        <f t="shared" si="1"/>
        <v>답김*순</v>
      </c>
      <c r="S34" s="243" t="str">
        <f t="shared" si="2"/>
        <v>-</v>
      </c>
      <c r="T34" s="153"/>
      <c r="U34" s="153"/>
      <c r="V34" s="153"/>
      <c r="W34" s="153"/>
      <c r="X34" s="153"/>
    </row>
    <row r="35" spans="1:24" s="154" customFormat="1" ht="24.95" customHeight="1">
      <c r="A35" s="259">
        <v>29</v>
      </c>
      <c r="B35" s="147" t="s">
        <v>46</v>
      </c>
      <c r="C35" s="259">
        <v>29</v>
      </c>
      <c r="D35" s="259" t="s">
        <v>313</v>
      </c>
      <c r="E35" s="156"/>
      <c r="F35" s="149"/>
      <c r="G35" s="149"/>
      <c r="H35" s="149"/>
      <c r="I35" s="149"/>
      <c r="J35" s="149"/>
      <c r="K35" s="149"/>
      <c r="L35" s="149"/>
      <c r="M35" s="150"/>
      <c r="N35" s="150"/>
      <c r="O35" s="150"/>
      <c r="P35" s="151"/>
      <c r="Q35" s="152" t="s">
        <v>169</v>
      </c>
      <c r="R35" s="242" t="str">
        <f t="shared" si="1"/>
        <v/>
      </c>
      <c r="S35" s="243" t="str">
        <f t="shared" si="2"/>
        <v>-</v>
      </c>
      <c r="T35" s="153"/>
      <c r="U35" s="153"/>
      <c r="V35" s="153"/>
      <c r="W35" s="153"/>
      <c r="X35" s="153"/>
    </row>
    <row r="36" spans="1:24" s="176" customFormat="1" ht="24.95" customHeight="1">
      <c r="A36" s="258">
        <v>30</v>
      </c>
      <c r="B36" s="168" t="s">
        <v>46</v>
      </c>
      <c r="C36" s="258">
        <v>30</v>
      </c>
      <c r="D36" s="258" t="s">
        <v>313</v>
      </c>
      <c r="E36" s="220" t="s">
        <v>112</v>
      </c>
      <c r="F36" s="170" t="s">
        <v>82</v>
      </c>
      <c r="G36" s="170">
        <v>3792</v>
      </c>
      <c r="H36" s="170">
        <v>9</v>
      </c>
      <c r="I36" s="170">
        <v>3769</v>
      </c>
      <c r="J36" s="170" t="s">
        <v>87</v>
      </c>
      <c r="K36" s="170" t="s">
        <v>88</v>
      </c>
      <c r="L36" s="170"/>
      <c r="M36" s="172"/>
      <c r="N36" s="172"/>
      <c r="O36" s="172"/>
      <c r="P36" s="173"/>
      <c r="Q36" s="152"/>
      <c r="R36" s="242" t="str">
        <f t="shared" si="1"/>
        <v>구국</v>
      </c>
      <c r="S36" s="243" t="str">
        <f t="shared" si="2"/>
        <v>-</v>
      </c>
      <c r="T36" s="153"/>
      <c r="U36" s="153"/>
      <c r="V36" s="175"/>
      <c r="W36" s="175"/>
      <c r="X36" s="175"/>
    </row>
    <row r="37" spans="1:24" s="176" customFormat="1" ht="24.95" customHeight="1">
      <c r="A37" s="258">
        <v>31</v>
      </c>
      <c r="B37" s="168" t="s">
        <v>46</v>
      </c>
      <c r="C37" s="258">
        <v>31</v>
      </c>
      <c r="D37" s="258" t="s">
        <v>313</v>
      </c>
      <c r="E37" s="220" t="s">
        <v>113</v>
      </c>
      <c r="F37" s="170" t="s">
        <v>72</v>
      </c>
      <c r="G37" s="170">
        <v>1444</v>
      </c>
      <c r="H37" s="170">
        <v>0</v>
      </c>
      <c r="I37" s="170">
        <v>3</v>
      </c>
      <c r="J37" s="170" t="s">
        <v>87</v>
      </c>
      <c r="K37" s="170" t="s">
        <v>88</v>
      </c>
      <c r="L37" s="170"/>
      <c r="M37" s="172"/>
      <c r="N37" s="172"/>
      <c r="O37" s="172"/>
      <c r="P37" s="173"/>
      <c r="Q37" s="174"/>
      <c r="R37" s="242" t="str">
        <f t="shared" si="1"/>
        <v>도국</v>
      </c>
      <c r="S37" s="243" t="str">
        <f t="shared" si="2"/>
        <v>-</v>
      </c>
      <c r="T37" s="175"/>
      <c r="U37" s="175"/>
      <c r="V37" s="175"/>
      <c r="W37" s="175"/>
      <c r="X37" s="175"/>
    </row>
    <row r="38" spans="1:24" s="154" customFormat="1" ht="24.95" customHeight="1">
      <c r="A38" s="258">
        <v>32</v>
      </c>
      <c r="B38" s="168" t="s">
        <v>46</v>
      </c>
      <c r="C38" s="258">
        <v>32</v>
      </c>
      <c r="D38" s="258" t="s">
        <v>313</v>
      </c>
      <c r="E38" s="220" t="s">
        <v>114</v>
      </c>
      <c r="F38" s="170" t="s">
        <v>82</v>
      </c>
      <c r="G38" s="170">
        <v>3632</v>
      </c>
      <c r="H38" s="170">
        <v>0</v>
      </c>
      <c r="I38" s="170">
        <v>22</v>
      </c>
      <c r="J38" s="170" t="s">
        <v>87</v>
      </c>
      <c r="K38" s="170" t="s">
        <v>88</v>
      </c>
      <c r="L38" s="170"/>
      <c r="M38" s="172"/>
      <c r="N38" s="172"/>
      <c r="O38" s="172"/>
      <c r="P38" s="173"/>
      <c r="Q38" s="174"/>
      <c r="R38" s="242" t="str">
        <f t="shared" si="1"/>
        <v>구국</v>
      </c>
      <c r="S38" s="243" t="str">
        <f t="shared" si="2"/>
        <v>-</v>
      </c>
      <c r="T38" s="175"/>
      <c r="U38" s="175"/>
      <c r="V38" s="153"/>
      <c r="W38" s="153"/>
      <c r="X38" s="153"/>
    </row>
    <row r="39" spans="1:24" s="176" customFormat="1" ht="24.95" customHeight="1">
      <c r="A39" s="258">
        <v>33</v>
      </c>
      <c r="B39" s="168" t="s">
        <v>46</v>
      </c>
      <c r="C39" s="258">
        <v>33</v>
      </c>
      <c r="D39" s="258" t="s">
        <v>313</v>
      </c>
      <c r="E39" s="220" t="s">
        <v>115</v>
      </c>
      <c r="F39" s="170" t="s">
        <v>72</v>
      </c>
      <c r="G39" s="170">
        <v>1451</v>
      </c>
      <c r="H39" s="170">
        <v>0</v>
      </c>
      <c r="I39" s="170">
        <v>13</v>
      </c>
      <c r="J39" s="170" t="s">
        <v>87</v>
      </c>
      <c r="K39" s="170" t="s">
        <v>88</v>
      </c>
      <c r="L39" s="170"/>
      <c r="M39" s="172"/>
      <c r="N39" s="172"/>
      <c r="O39" s="172"/>
      <c r="P39" s="173"/>
      <c r="Q39" s="174"/>
      <c r="R39" s="242" t="str">
        <f t="shared" si="1"/>
        <v>도국</v>
      </c>
      <c r="S39" s="243" t="str">
        <f t="shared" si="2"/>
        <v>-</v>
      </c>
      <c r="T39" s="175"/>
      <c r="U39" s="175"/>
      <c r="V39" s="175"/>
      <c r="W39" s="175"/>
      <c r="X39" s="175"/>
    </row>
    <row r="40" spans="1:24" s="154" customFormat="1" ht="24.95" customHeight="1">
      <c r="A40" s="259">
        <v>34</v>
      </c>
      <c r="B40" s="147" t="s">
        <v>46</v>
      </c>
      <c r="C40" s="259">
        <v>34</v>
      </c>
      <c r="D40" s="259" t="s">
        <v>313</v>
      </c>
      <c r="E40" s="156" t="s">
        <v>280</v>
      </c>
      <c r="F40" s="149" t="s">
        <v>6</v>
      </c>
      <c r="G40" s="149">
        <v>7732</v>
      </c>
      <c r="H40" s="149">
        <v>0</v>
      </c>
      <c r="I40" s="149">
        <v>189</v>
      </c>
      <c r="J40" s="149" t="s">
        <v>162</v>
      </c>
      <c r="K40" s="149" t="s">
        <v>148</v>
      </c>
      <c r="L40" s="149"/>
      <c r="M40" s="150" t="s">
        <v>130</v>
      </c>
      <c r="N40" s="150" t="s">
        <v>147</v>
      </c>
      <c r="O40" s="150" t="s">
        <v>129</v>
      </c>
      <c r="P40" s="151"/>
      <c r="Q40" s="152"/>
      <c r="R40" s="242" t="str">
        <f t="shared" si="1"/>
        <v>답김*기</v>
      </c>
      <c r="S40" s="243" t="str">
        <f t="shared" si="2"/>
        <v>-</v>
      </c>
      <c r="T40" s="153"/>
      <c r="U40" s="153"/>
      <c r="V40" s="153"/>
      <c r="W40" s="153"/>
      <c r="X40" s="153"/>
    </row>
    <row r="41" spans="1:24" s="176" customFormat="1" ht="24.95" customHeight="1">
      <c r="A41" s="258">
        <v>35</v>
      </c>
      <c r="B41" s="168" t="s">
        <v>46</v>
      </c>
      <c r="C41" s="258">
        <v>35</v>
      </c>
      <c r="D41" s="258" t="s">
        <v>313</v>
      </c>
      <c r="E41" s="220" t="s">
        <v>116</v>
      </c>
      <c r="F41" s="170" t="s">
        <v>72</v>
      </c>
      <c r="G41" s="170">
        <v>66</v>
      </c>
      <c r="H41" s="170">
        <v>66</v>
      </c>
      <c r="I41" s="170">
        <v>66</v>
      </c>
      <c r="J41" s="170" t="s">
        <v>89</v>
      </c>
      <c r="K41" s="170" t="s">
        <v>90</v>
      </c>
      <c r="L41" s="170"/>
      <c r="M41" s="172"/>
      <c r="N41" s="172"/>
      <c r="O41" s="172"/>
      <c r="P41" s="173"/>
      <c r="Q41" s="174"/>
      <c r="R41" s="242" t="str">
        <f t="shared" si="1"/>
        <v>도공</v>
      </c>
      <c r="S41" s="243" t="str">
        <f t="shared" si="2"/>
        <v>-</v>
      </c>
      <c r="T41" s="175"/>
      <c r="U41" s="175"/>
      <c r="V41" s="175"/>
      <c r="W41" s="175"/>
      <c r="X41" s="175"/>
    </row>
    <row r="42" spans="1:24" s="176" customFormat="1" ht="24.95" customHeight="1">
      <c r="A42" s="258">
        <v>36</v>
      </c>
      <c r="B42" s="168" t="s">
        <v>46</v>
      </c>
      <c r="C42" s="258">
        <v>36</v>
      </c>
      <c r="D42" s="258" t="s">
        <v>313</v>
      </c>
      <c r="E42" s="220" t="s">
        <v>117</v>
      </c>
      <c r="F42" s="170" t="s">
        <v>72</v>
      </c>
      <c r="G42" s="170">
        <v>65</v>
      </c>
      <c r="H42" s="170">
        <v>65</v>
      </c>
      <c r="I42" s="170">
        <v>65</v>
      </c>
      <c r="J42" s="170" t="s">
        <v>149</v>
      </c>
      <c r="K42" s="170" t="s">
        <v>148</v>
      </c>
      <c r="L42" s="170"/>
      <c r="M42" s="172"/>
      <c r="N42" s="172"/>
      <c r="O42" s="172"/>
      <c r="P42" s="173"/>
      <c r="Q42" s="152"/>
      <c r="R42" s="242" t="str">
        <f t="shared" si="1"/>
        <v>도김*수</v>
      </c>
      <c r="S42" s="243" t="str">
        <f t="shared" si="2"/>
        <v>-</v>
      </c>
      <c r="T42" s="153"/>
      <c r="U42" s="153"/>
      <c r="V42" s="175"/>
      <c r="W42" s="175"/>
      <c r="X42" s="175"/>
    </row>
    <row r="43" spans="1:24" s="228" customFormat="1" ht="24.95" customHeight="1">
      <c r="A43" s="406">
        <v>37</v>
      </c>
      <c r="B43" s="147" t="s">
        <v>46</v>
      </c>
      <c r="C43" s="420">
        <v>37</v>
      </c>
      <c r="D43" s="420" t="s">
        <v>313</v>
      </c>
      <c r="E43" s="148" t="s">
        <v>281</v>
      </c>
      <c r="F43" s="149" t="s">
        <v>70</v>
      </c>
      <c r="G43" s="149">
        <v>16363</v>
      </c>
      <c r="H43" s="149">
        <v>0</v>
      </c>
      <c r="I43" s="149">
        <v>34</v>
      </c>
      <c r="J43" s="149" t="s">
        <v>278</v>
      </c>
      <c r="K43" s="224" t="s">
        <v>157</v>
      </c>
      <c r="L43" s="224"/>
      <c r="M43" s="150"/>
      <c r="N43" s="150"/>
      <c r="O43" s="150"/>
      <c r="P43" s="225"/>
      <c r="Q43" s="226"/>
      <c r="R43" s="242" t="str">
        <f t="shared" si="1"/>
        <v>임김*남 외 22인</v>
      </c>
      <c r="S43" s="243" t="str">
        <f t="shared" si="2"/>
        <v>-</v>
      </c>
      <c r="T43" s="227"/>
      <c r="U43" s="227"/>
      <c r="V43" s="227"/>
      <c r="W43" s="227"/>
      <c r="X43" s="227"/>
    </row>
    <row r="44" spans="1:24" s="211" customFormat="1" ht="24.95" hidden="1" customHeight="1">
      <c r="A44" s="406"/>
      <c r="B44" s="111"/>
      <c r="C44" s="421"/>
      <c r="D44" s="421"/>
      <c r="E44" s="122"/>
      <c r="F44" s="112"/>
      <c r="G44" s="112"/>
      <c r="H44" s="112"/>
      <c r="I44" s="112"/>
      <c r="J44" s="112" t="s">
        <v>217</v>
      </c>
      <c r="K44" s="229" t="s">
        <v>218</v>
      </c>
      <c r="L44" s="229"/>
      <c r="M44" s="114">
        <v>1</v>
      </c>
      <c r="N44" s="114"/>
      <c r="O44" s="114"/>
      <c r="P44" s="230">
        <v>331</v>
      </c>
      <c r="Q44" s="231"/>
      <c r="R44" s="242" t="str">
        <f t="shared" si="1"/>
        <v>박*희</v>
      </c>
      <c r="S44" s="243" t="str">
        <f t="shared" si="2"/>
        <v>-</v>
      </c>
      <c r="T44" s="232"/>
      <c r="U44" s="232"/>
      <c r="V44" s="232"/>
      <c r="W44" s="232"/>
      <c r="X44" s="232"/>
    </row>
    <row r="45" spans="1:24" s="211" customFormat="1" ht="24.95" hidden="1" customHeight="1">
      <c r="A45" s="406"/>
      <c r="B45" s="111"/>
      <c r="C45" s="421"/>
      <c r="D45" s="421"/>
      <c r="E45" s="122"/>
      <c r="F45" s="112"/>
      <c r="G45" s="112"/>
      <c r="H45" s="112"/>
      <c r="I45" s="112"/>
      <c r="J45" s="112" t="s">
        <v>219</v>
      </c>
      <c r="K45" s="229" t="s">
        <v>220</v>
      </c>
      <c r="L45" s="229"/>
      <c r="M45" s="114"/>
      <c r="N45" s="114"/>
      <c r="O45" s="114"/>
      <c r="P45" s="230">
        <v>331</v>
      </c>
      <c r="Q45" s="231"/>
      <c r="R45" s="242" t="str">
        <f t="shared" si="1"/>
        <v>김*현</v>
      </c>
      <c r="S45" s="243" t="str">
        <f t="shared" si="2"/>
        <v>-</v>
      </c>
      <c r="T45" s="232"/>
      <c r="U45" s="232"/>
      <c r="V45" s="232"/>
      <c r="W45" s="232"/>
      <c r="X45" s="232"/>
    </row>
    <row r="46" spans="1:24" s="211" customFormat="1" ht="24.95" hidden="1" customHeight="1">
      <c r="A46" s="406"/>
      <c r="B46" s="111"/>
      <c r="C46" s="421"/>
      <c r="D46" s="421"/>
      <c r="E46" s="122"/>
      <c r="F46" s="112"/>
      <c r="G46" s="112"/>
      <c r="H46" s="112"/>
      <c r="I46" s="112"/>
      <c r="J46" s="112" t="s">
        <v>221</v>
      </c>
      <c r="K46" s="229" t="s">
        <v>222</v>
      </c>
      <c r="L46" s="229"/>
      <c r="M46" s="114"/>
      <c r="N46" s="114"/>
      <c r="O46" s="114"/>
      <c r="P46" s="230">
        <v>1653</v>
      </c>
      <c r="Q46" s="231"/>
      <c r="R46" s="242" t="str">
        <f t="shared" si="1"/>
        <v>이*영</v>
      </c>
      <c r="S46" s="243" t="str">
        <f t="shared" si="2"/>
        <v>-</v>
      </c>
      <c r="T46" s="232"/>
      <c r="U46" s="232"/>
      <c r="V46" s="232"/>
      <c r="W46" s="232"/>
      <c r="X46" s="232"/>
    </row>
    <row r="47" spans="1:24" s="211" customFormat="1" ht="24.95" hidden="1" customHeight="1">
      <c r="A47" s="406"/>
      <c r="B47" s="111"/>
      <c r="C47" s="421"/>
      <c r="D47" s="421"/>
      <c r="E47" s="122"/>
      <c r="F47" s="112"/>
      <c r="G47" s="112"/>
      <c r="H47" s="112"/>
      <c r="I47" s="112"/>
      <c r="J47" s="112" t="s">
        <v>223</v>
      </c>
      <c r="K47" s="229" t="s">
        <v>224</v>
      </c>
      <c r="L47" s="229"/>
      <c r="M47" s="114"/>
      <c r="N47" s="114"/>
      <c r="O47" s="114"/>
      <c r="P47" s="230">
        <v>992</v>
      </c>
      <c r="Q47" s="231"/>
      <c r="R47" s="242" t="str">
        <f t="shared" si="1"/>
        <v>정*순</v>
      </c>
      <c r="S47" s="243" t="str">
        <f t="shared" si="2"/>
        <v>-</v>
      </c>
      <c r="T47" s="232"/>
      <c r="U47" s="232"/>
      <c r="V47" s="232"/>
      <c r="W47" s="232"/>
      <c r="X47" s="232"/>
    </row>
    <row r="48" spans="1:24" s="211" customFormat="1" ht="24.95" hidden="1" customHeight="1">
      <c r="A48" s="406"/>
      <c r="B48" s="111"/>
      <c r="C48" s="421"/>
      <c r="D48" s="421"/>
      <c r="E48" s="122"/>
      <c r="F48" s="112"/>
      <c r="G48" s="112"/>
      <c r="H48" s="112"/>
      <c r="I48" s="112"/>
      <c r="J48" s="112" t="s">
        <v>225</v>
      </c>
      <c r="K48" s="229" t="s">
        <v>226</v>
      </c>
      <c r="L48" s="229"/>
      <c r="M48" s="114"/>
      <c r="N48" s="114"/>
      <c r="O48" s="114"/>
      <c r="P48" s="230">
        <v>661</v>
      </c>
      <c r="Q48" s="231"/>
      <c r="R48" s="242" t="str">
        <f t="shared" si="1"/>
        <v>임*택</v>
      </c>
      <c r="S48" s="243" t="str">
        <f t="shared" si="2"/>
        <v>-</v>
      </c>
      <c r="T48" s="232"/>
      <c r="U48" s="232"/>
      <c r="V48" s="232"/>
      <c r="W48" s="232"/>
      <c r="X48" s="232"/>
    </row>
    <row r="49" spans="1:24" s="211" customFormat="1" ht="24.95" hidden="1" customHeight="1">
      <c r="A49" s="406"/>
      <c r="B49" s="111"/>
      <c r="C49" s="421"/>
      <c r="D49" s="421"/>
      <c r="E49" s="122"/>
      <c r="F49" s="112"/>
      <c r="G49" s="112"/>
      <c r="H49" s="112"/>
      <c r="I49" s="112"/>
      <c r="J49" s="112" t="s">
        <v>227</v>
      </c>
      <c r="K49" s="229" t="s">
        <v>228</v>
      </c>
      <c r="L49" s="229"/>
      <c r="M49" s="114"/>
      <c r="N49" s="114"/>
      <c r="O49" s="114"/>
      <c r="P49" s="230">
        <v>661</v>
      </c>
      <c r="Q49" s="231"/>
      <c r="R49" s="242" t="str">
        <f t="shared" si="1"/>
        <v>성*선</v>
      </c>
      <c r="S49" s="243" t="str">
        <f t="shared" si="2"/>
        <v>-</v>
      </c>
      <c r="T49" s="232"/>
      <c r="U49" s="232"/>
      <c r="V49" s="232"/>
      <c r="W49" s="232"/>
      <c r="X49" s="232"/>
    </row>
    <row r="50" spans="1:24" s="211" customFormat="1" ht="24.95" hidden="1" customHeight="1">
      <c r="A50" s="406"/>
      <c r="B50" s="111"/>
      <c r="C50" s="421"/>
      <c r="D50" s="421"/>
      <c r="E50" s="122"/>
      <c r="F50" s="112"/>
      <c r="G50" s="112"/>
      <c r="H50" s="112"/>
      <c r="I50" s="112"/>
      <c r="J50" s="112" t="s">
        <v>229</v>
      </c>
      <c r="K50" s="229" t="s">
        <v>230</v>
      </c>
      <c r="L50" s="229"/>
      <c r="M50" s="114"/>
      <c r="N50" s="114"/>
      <c r="O50" s="114"/>
      <c r="P50" s="230">
        <v>1322</v>
      </c>
      <c r="Q50" s="231"/>
      <c r="R50" s="242" t="str">
        <f t="shared" si="1"/>
        <v>윤*택</v>
      </c>
      <c r="S50" s="243" t="str">
        <f t="shared" si="2"/>
        <v>-</v>
      </c>
      <c r="T50" s="232"/>
      <c r="U50" s="232"/>
      <c r="V50" s="232"/>
      <c r="W50" s="232"/>
      <c r="X50" s="232"/>
    </row>
    <row r="51" spans="1:24" s="211" customFormat="1" ht="24.95" hidden="1" customHeight="1">
      <c r="A51" s="406"/>
      <c r="B51" s="111"/>
      <c r="C51" s="421"/>
      <c r="D51" s="421"/>
      <c r="E51" s="122"/>
      <c r="F51" s="112"/>
      <c r="G51" s="112"/>
      <c r="H51" s="112"/>
      <c r="I51" s="112"/>
      <c r="J51" s="112" t="s">
        <v>231</v>
      </c>
      <c r="K51" s="229" t="s">
        <v>232</v>
      </c>
      <c r="L51" s="229"/>
      <c r="M51" s="114"/>
      <c r="N51" s="114"/>
      <c r="O51" s="114"/>
      <c r="P51" s="230">
        <v>661</v>
      </c>
      <c r="Q51" s="231"/>
      <c r="R51" s="242" t="str">
        <f t="shared" si="1"/>
        <v>심*덕</v>
      </c>
      <c r="S51" s="243" t="str">
        <f t="shared" si="2"/>
        <v>-</v>
      </c>
      <c r="T51" s="232"/>
      <c r="U51" s="232"/>
      <c r="V51" s="232"/>
      <c r="W51" s="232"/>
      <c r="X51" s="232"/>
    </row>
    <row r="52" spans="1:24" s="211" customFormat="1" ht="24.95" hidden="1" customHeight="1">
      <c r="A52" s="406"/>
      <c r="B52" s="111"/>
      <c r="C52" s="421"/>
      <c r="D52" s="421"/>
      <c r="E52" s="122"/>
      <c r="F52" s="112"/>
      <c r="G52" s="112"/>
      <c r="H52" s="112"/>
      <c r="I52" s="112"/>
      <c r="J52" s="112" t="s">
        <v>233</v>
      </c>
      <c r="K52" s="229" t="s">
        <v>234</v>
      </c>
      <c r="L52" s="229"/>
      <c r="M52" s="114"/>
      <c r="N52" s="114"/>
      <c r="O52" s="114"/>
      <c r="P52" s="230">
        <v>992</v>
      </c>
      <c r="Q52" s="231"/>
      <c r="R52" s="242" t="str">
        <f t="shared" si="1"/>
        <v>현*상</v>
      </c>
      <c r="S52" s="243" t="str">
        <f t="shared" si="2"/>
        <v>-</v>
      </c>
      <c r="T52" s="232"/>
      <c r="U52" s="232"/>
      <c r="V52" s="232"/>
      <c r="W52" s="232"/>
      <c r="X52" s="232"/>
    </row>
    <row r="53" spans="1:24" s="211" customFormat="1" ht="24.95" hidden="1" customHeight="1">
      <c r="A53" s="406"/>
      <c r="B53" s="111"/>
      <c r="C53" s="421"/>
      <c r="D53" s="421"/>
      <c r="E53" s="122"/>
      <c r="F53" s="112"/>
      <c r="G53" s="112"/>
      <c r="H53" s="112"/>
      <c r="I53" s="112"/>
      <c r="J53" s="112" t="s">
        <v>235</v>
      </c>
      <c r="K53" s="229" t="s">
        <v>236</v>
      </c>
      <c r="L53" s="229"/>
      <c r="M53" s="114"/>
      <c r="N53" s="114"/>
      <c r="O53" s="114"/>
      <c r="P53" s="230">
        <v>331</v>
      </c>
      <c r="Q53" s="231"/>
      <c r="R53" s="242" t="str">
        <f t="shared" si="1"/>
        <v>주*관</v>
      </c>
      <c r="S53" s="243" t="str">
        <f t="shared" si="2"/>
        <v>-</v>
      </c>
      <c r="T53" s="232"/>
      <c r="U53" s="232"/>
      <c r="V53" s="232"/>
      <c r="W53" s="232"/>
      <c r="X53" s="232"/>
    </row>
    <row r="54" spans="1:24" s="211" customFormat="1" ht="24.95" hidden="1" customHeight="1">
      <c r="A54" s="406"/>
      <c r="B54" s="111"/>
      <c r="C54" s="421"/>
      <c r="D54" s="421"/>
      <c r="E54" s="122"/>
      <c r="F54" s="112"/>
      <c r="G54" s="112"/>
      <c r="H54" s="112"/>
      <c r="I54" s="112"/>
      <c r="J54" s="112" t="s">
        <v>237</v>
      </c>
      <c r="K54" s="229" t="s">
        <v>238</v>
      </c>
      <c r="L54" s="229"/>
      <c r="M54" s="114"/>
      <c r="N54" s="114"/>
      <c r="O54" s="114"/>
      <c r="P54" s="230">
        <v>331</v>
      </c>
      <c r="Q54" s="231"/>
      <c r="R54" s="242" t="str">
        <f t="shared" si="1"/>
        <v>유*숙</v>
      </c>
      <c r="S54" s="243" t="str">
        <f t="shared" si="2"/>
        <v>-</v>
      </c>
      <c r="T54" s="232"/>
      <c r="U54" s="232"/>
      <c r="V54" s="232"/>
      <c r="W54" s="232"/>
      <c r="X54" s="232"/>
    </row>
    <row r="55" spans="1:24" s="211" customFormat="1" ht="24.95" hidden="1" customHeight="1">
      <c r="A55" s="406"/>
      <c r="B55" s="111"/>
      <c r="C55" s="421"/>
      <c r="D55" s="421"/>
      <c r="E55" s="122"/>
      <c r="F55" s="112"/>
      <c r="G55" s="112"/>
      <c r="H55" s="112"/>
      <c r="I55" s="112"/>
      <c r="J55" s="112" t="s">
        <v>239</v>
      </c>
      <c r="K55" s="229" t="s">
        <v>240</v>
      </c>
      <c r="L55" s="229"/>
      <c r="M55" s="114"/>
      <c r="N55" s="114"/>
      <c r="O55" s="114"/>
      <c r="P55" s="230">
        <v>661</v>
      </c>
      <c r="Q55" s="231"/>
      <c r="R55" s="242" t="str">
        <f t="shared" si="1"/>
        <v>윤*경</v>
      </c>
      <c r="S55" s="243" t="str">
        <f t="shared" si="2"/>
        <v>-</v>
      </c>
      <c r="T55" s="232"/>
      <c r="U55" s="232"/>
      <c r="V55" s="232"/>
      <c r="W55" s="232"/>
      <c r="X55" s="232"/>
    </row>
    <row r="56" spans="1:24" s="211" customFormat="1" ht="24.95" hidden="1" customHeight="1">
      <c r="A56" s="406"/>
      <c r="B56" s="111"/>
      <c r="C56" s="421"/>
      <c r="D56" s="421"/>
      <c r="E56" s="122"/>
      <c r="F56" s="112"/>
      <c r="G56" s="112"/>
      <c r="H56" s="112"/>
      <c r="I56" s="112"/>
      <c r="J56" s="112" t="s">
        <v>241</v>
      </c>
      <c r="K56" s="229" t="s">
        <v>242</v>
      </c>
      <c r="L56" s="229"/>
      <c r="M56" s="114"/>
      <c r="N56" s="114"/>
      <c r="O56" s="114"/>
      <c r="P56" s="230">
        <v>331</v>
      </c>
      <c r="Q56" s="231"/>
      <c r="R56" s="242" t="str">
        <f t="shared" si="1"/>
        <v>김*직</v>
      </c>
      <c r="S56" s="243" t="str">
        <f t="shared" si="2"/>
        <v>-</v>
      </c>
      <c r="T56" s="232"/>
      <c r="U56" s="232"/>
      <c r="V56" s="232"/>
      <c r="W56" s="232"/>
      <c r="X56" s="232"/>
    </row>
    <row r="57" spans="1:24" s="211" customFormat="1" ht="24.95" hidden="1" customHeight="1">
      <c r="A57" s="406"/>
      <c r="B57" s="111"/>
      <c r="C57" s="421"/>
      <c r="D57" s="421"/>
      <c r="E57" s="122"/>
      <c r="F57" s="112"/>
      <c r="G57" s="112"/>
      <c r="H57" s="112"/>
      <c r="I57" s="112"/>
      <c r="J57" s="112" t="s">
        <v>243</v>
      </c>
      <c r="K57" s="229" t="s">
        <v>244</v>
      </c>
      <c r="L57" s="229"/>
      <c r="M57" s="114"/>
      <c r="N57" s="114"/>
      <c r="O57" s="114"/>
      <c r="P57" s="230">
        <v>661</v>
      </c>
      <c r="Q57" s="231"/>
      <c r="R57" s="242" t="str">
        <f t="shared" si="1"/>
        <v>정*희</v>
      </c>
      <c r="S57" s="243" t="str">
        <f t="shared" si="2"/>
        <v>-</v>
      </c>
      <c r="T57" s="232"/>
      <c r="U57" s="232"/>
      <c r="V57" s="232"/>
      <c r="W57" s="232"/>
      <c r="X57" s="232"/>
    </row>
    <row r="58" spans="1:24" s="211" customFormat="1" ht="24.95" hidden="1" customHeight="1">
      <c r="A58" s="406"/>
      <c r="B58" s="111"/>
      <c r="C58" s="421"/>
      <c r="D58" s="421"/>
      <c r="E58" s="122"/>
      <c r="F58" s="112"/>
      <c r="G58" s="112"/>
      <c r="H58" s="112"/>
      <c r="I58" s="112"/>
      <c r="J58" s="112" t="s">
        <v>245</v>
      </c>
      <c r="K58" s="229" t="s">
        <v>246</v>
      </c>
      <c r="L58" s="229"/>
      <c r="M58" s="114"/>
      <c r="N58" s="114"/>
      <c r="O58" s="114"/>
      <c r="P58" s="230">
        <v>331</v>
      </c>
      <c r="Q58" s="231"/>
      <c r="R58" s="242" t="str">
        <f t="shared" si="1"/>
        <v>주*현</v>
      </c>
      <c r="S58" s="243" t="str">
        <f t="shared" si="2"/>
        <v>-</v>
      </c>
      <c r="T58" s="232"/>
      <c r="U58" s="232"/>
      <c r="V58" s="232"/>
      <c r="W58" s="232"/>
      <c r="X58" s="232"/>
    </row>
    <row r="59" spans="1:24" s="211" customFormat="1" ht="24.95" hidden="1" customHeight="1">
      <c r="A59" s="406"/>
      <c r="B59" s="111"/>
      <c r="C59" s="421"/>
      <c r="D59" s="421"/>
      <c r="E59" s="122"/>
      <c r="F59" s="112"/>
      <c r="G59" s="112"/>
      <c r="H59" s="112"/>
      <c r="I59" s="112"/>
      <c r="J59" s="112" t="s">
        <v>247</v>
      </c>
      <c r="K59" s="229" t="s">
        <v>248</v>
      </c>
      <c r="L59" s="229"/>
      <c r="M59" s="114"/>
      <c r="N59" s="114"/>
      <c r="O59" s="114"/>
      <c r="P59" s="230">
        <v>661</v>
      </c>
      <c r="Q59" s="231"/>
      <c r="R59" s="242" t="str">
        <f t="shared" si="1"/>
        <v>안*희</v>
      </c>
      <c r="S59" s="243" t="str">
        <f t="shared" si="2"/>
        <v>-</v>
      </c>
      <c r="T59" s="232"/>
      <c r="U59" s="232"/>
      <c r="V59" s="232"/>
      <c r="W59" s="232"/>
      <c r="X59" s="232"/>
    </row>
    <row r="60" spans="1:24" s="211" customFormat="1" ht="24.95" hidden="1" customHeight="1">
      <c r="A60" s="406"/>
      <c r="B60" s="111"/>
      <c r="C60" s="421"/>
      <c r="D60" s="421"/>
      <c r="E60" s="122"/>
      <c r="F60" s="112"/>
      <c r="G60" s="112"/>
      <c r="H60" s="112"/>
      <c r="I60" s="112"/>
      <c r="J60" s="112" t="s">
        <v>249</v>
      </c>
      <c r="K60" s="229" t="s">
        <v>248</v>
      </c>
      <c r="L60" s="229"/>
      <c r="M60" s="114"/>
      <c r="N60" s="114"/>
      <c r="O60" s="114"/>
      <c r="P60" s="230">
        <v>331</v>
      </c>
      <c r="Q60" s="231"/>
      <c r="R60" s="242" t="str">
        <f t="shared" si="1"/>
        <v>조*래</v>
      </c>
      <c r="S60" s="243" t="str">
        <f t="shared" si="2"/>
        <v>-</v>
      </c>
      <c r="T60" s="232"/>
      <c r="U60" s="232"/>
      <c r="V60" s="232"/>
      <c r="W60" s="232"/>
      <c r="X60" s="232"/>
    </row>
    <row r="61" spans="1:24" s="211" customFormat="1" ht="24.95" hidden="1" customHeight="1">
      <c r="A61" s="406"/>
      <c r="B61" s="111"/>
      <c r="C61" s="421"/>
      <c r="D61" s="421"/>
      <c r="E61" s="122"/>
      <c r="F61" s="112"/>
      <c r="G61" s="112"/>
      <c r="H61" s="112"/>
      <c r="I61" s="112"/>
      <c r="J61" s="112" t="s">
        <v>237</v>
      </c>
      <c r="K61" s="229" t="s">
        <v>250</v>
      </c>
      <c r="L61" s="229"/>
      <c r="M61" s="114"/>
      <c r="N61" s="114"/>
      <c r="O61" s="114"/>
      <c r="P61" s="230">
        <v>1322</v>
      </c>
      <c r="Q61" s="231"/>
      <c r="R61" s="242" t="str">
        <f t="shared" si="1"/>
        <v>유*숙</v>
      </c>
      <c r="S61" s="243" t="str">
        <f t="shared" si="2"/>
        <v>-</v>
      </c>
      <c r="T61" s="232"/>
      <c r="U61" s="232"/>
      <c r="V61" s="232"/>
      <c r="W61" s="232"/>
      <c r="X61" s="232"/>
    </row>
    <row r="62" spans="1:24" s="211" customFormat="1" ht="24.95" hidden="1" customHeight="1">
      <c r="A62" s="406"/>
      <c r="B62" s="111"/>
      <c r="C62" s="421"/>
      <c r="D62" s="421"/>
      <c r="E62" s="122"/>
      <c r="F62" s="112"/>
      <c r="G62" s="112"/>
      <c r="H62" s="112"/>
      <c r="I62" s="112"/>
      <c r="J62" s="112" t="s">
        <v>217</v>
      </c>
      <c r="K62" s="229" t="s">
        <v>251</v>
      </c>
      <c r="L62" s="229"/>
      <c r="M62" s="114"/>
      <c r="N62" s="114"/>
      <c r="O62" s="114"/>
      <c r="P62" s="230">
        <v>824</v>
      </c>
      <c r="Q62" s="231"/>
      <c r="R62" s="242" t="str">
        <f t="shared" si="1"/>
        <v>박*희</v>
      </c>
      <c r="S62" s="243" t="str">
        <f t="shared" si="2"/>
        <v>-</v>
      </c>
      <c r="T62" s="232"/>
      <c r="U62" s="232"/>
      <c r="V62" s="232"/>
      <c r="W62" s="232"/>
      <c r="X62" s="232"/>
    </row>
    <row r="63" spans="1:24" s="211" customFormat="1" ht="24.95" hidden="1" customHeight="1">
      <c r="A63" s="406"/>
      <c r="B63" s="111"/>
      <c r="C63" s="421"/>
      <c r="D63" s="421"/>
      <c r="E63" s="122"/>
      <c r="F63" s="112"/>
      <c r="G63" s="112"/>
      <c r="H63" s="112"/>
      <c r="I63" s="112"/>
      <c r="J63" s="112" t="s">
        <v>252</v>
      </c>
      <c r="K63" s="229" t="s">
        <v>253</v>
      </c>
      <c r="L63" s="229"/>
      <c r="M63" s="114"/>
      <c r="N63" s="114"/>
      <c r="O63" s="114"/>
      <c r="P63" s="230">
        <v>661</v>
      </c>
      <c r="Q63" s="231"/>
      <c r="R63" s="242" t="str">
        <f t="shared" si="1"/>
        <v>김*훈</v>
      </c>
      <c r="S63" s="243" t="str">
        <f t="shared" si="2"/>
        <v>-</v>
      </c>
      <c r="T63" s="232"/>
      <c r="U63" s="232"/>
      <c r="V63" s="232"/>
      <c r="W63" s="232"/>
      <c r="X63" s="232"/>
    </row>
    <row r="64" spans="1:24" s="211" customFormat="1" ht="24.95" hidden="1" customHeight="1">
      <c r="A64" s="406"/>
      <c r="B64" s="111"/>
      <c r="C64" s="421"/>
      <c r="D64" s="421"/>
      <c r="E64" s="122"/>
      <c r="F64" s="112"/>
      <c r="G64" s="112"/>
      <c r="H64" s="112"/>
      <c r="I64" s="112"/>
      <c r="J64" s="112" t="s">
        <v>254</v>
      </c>
      <c r="K64" s="229" t="s">
        <v>255</v>
      </c>
      <c r="L64" s="229"/>
      <c r="M64" s="114"/>
      <c r="N64" s="114"/>
      <c r="O64" s="114"/>
      <c r="P64" s="230">
        <v>1322</v>
      </c>
      <c r="Q64" s="231"/>
      <c r="R64" s="242" t="str">
        <f t="shared" si="1"/>
        <v>이*숙</v>
      </c>
      <c r="S64" s="243" t="str">
        <f t="shared" si="2"/>
        <v>-</v>
      </c>
      <c r="T64" s="232"/>
      <c r="U64" s="232"/>
      <c r="V64" s="232"/>
      <c r="W64" s="232"/>
      <c r="X64" s="232"/>
    </row>
    <row r="65" spans="1:80" s="211" customFormat="1" ht="24.95" hidden="1" customHeight="1">
      <c r="A65" s="406"/>
      <c r="B65" s="111"/>
      <c r="C65" s="421"/>
      <c r="D65" s="421"/>
      <c r="E65" s="122"/>
      <c r="F65" s="112"/>
      <c r="G65" s="112"/>
      <c r="H65" s="112"/>
      <c r="I65" s="112"/>
      <c r="J65" s="112" t="s">
        <v>256</v>
      </c>
      <c r="K65" s="229" t="s">
        <v>257</v>
      </c>
      <c r="L65" s="229"/>
      <c r="M65" s="114"/>
      <c r="N65" s="114"/>
      <c r="O65" s="114"/>
      <c r="P65" s="230">
        <v>331</v>
      </c>
      <c r="Q65" s="231"/>
      <c r="R65" s="242" t="str">
        <f t="shared" si="1"/>
        <v>조*경</v>
      </c>
      <c r="S65" s="243" t="str">
        <f t="shared" si="2"/>
        <v>-</v>
      </c>
      <c r="T65" s="232"/>
      <c r="U65" s="232"/>
      <c r="V65" s="232"/>
      <c r="W65" s="232"/>
      <c r="X65" s="232"/>
    </row>
    <row r="66" spans="1:80" s="154" customFormat="1" ht="24.95" customHeight="1">
      <c r="A66" s="258">
        <v>38</v>
      </c>
      <c r="B66" s="168" t="s">
        <v>46</v>
      </c>
      <c r="C66" s="258">
        <v>38</v>
      </c>
      <c r="D66" s="258" t="s">
        <v>313</v>
      </c>
      <c r="E66" s="169" t="s">
        <v>118</v>
      </c>
      <c r="F66" s="170" t="s">
        <v>72</v>
      </c>
      <c r="G66" s="170">
        <v>397</v>
      </c>
      <c r="H66" s="170">
        <v>341</v>
      </c>
      <c r="I66" s="170">
        <v>368</v>
      </c>
      <c r="J66" s="170" t="s">
        <v>87</v>
      </c>
      <c r="K66" s="170" t="s">
        <v>123</v>
      </c>
      <c r="L66" s="170"/>
      <c r="M66" s="172"/>
      <c r="N66" s="172"/>
      <c r="O66" s="172"/>
      <c r="P66" s="173"/>
      <c r="Q66" s="152"/>
      <c r="R66" s="242" t="str">
        <f t="shared" si="1"/>
        <v>도국</v>
      </c>
      <c r="S66" s="243" t="str">
        <f t="shared" si="2"/>
        <v>-</v>
      </c>
      <c r="T66" s="153"/>
      <c r="U66" s="153"/>
      <c r="V66" s="153"/>
      <c r="W66" s="153"/>
      <c r="X66" s="153"/>
    </row>
    <row r="67" spans="1:80" s="154" customFormat="1" ht="24.95" customHeight="1">
      <c r="A67" s="258">
        <v>39</v>
      </c>
      <c r="B67" s="168" t="s">
        <v>46</v>
      </c>
      <c r="C67" s="258">
        <v>39</v>
      </c>
      <c r="D67" s="258" t="s">
        <v>313</v>
      </c>
      <c r="E67" s="220" t="s">
        <v>119</v>
      </c>
      <c r="F67" s="170" t="s">
        <v>72</v>
      </c>
      <c r="G67" s="170">
        <v>133</v>
      </c>
      <c r="H67" s="170">
        <v>133</v>
      </c>
      <c r="I67" s="170">
        <v>133</v>
      </c>
      <c r="J67" s="170" t="s">
        <v>89</v>
      </c>
      <c r="K67" s="170" t="s">
        <v>91</v>
      </c>
      <c r="L67" s="170"/>
      <c r="M67" s="172"/>
      <c r="N67" s="172"/>
      <c r="O67" s="172"/>
      <c r="P67" s="173"/>
      <c r="Q67" s="174"/>
      <c r="R67" s="242" t="str">
        <f t="shared" si="1"/>
        <v>도공</v>
      </c>
      <c r="S67" s="243" t="str">
        <f t="shared" si="2"/>
        <v>-</v>
      </c>
      <c r="T67" s="175"/>
      <c r="U67" s="175"/>
      <c r="V67" s="153"/>
      <c r="W67" s="153"/>
      <c r="X67" s="153"/>
    </row>
    <row r="68" spans="1:80" s="154" customFormat="1" ht="24.95" customHeight="1">
      <c r="A68" s="259">
        <v>40</v>
      </c>
      <c r="B68" s="147" t="s">
        <v>46</v>
      </c>
      <c r="C68" s="259">
        <v>40</v>
      </c>
      <c r="D68" s="259" t="s">
        <v>313</v>
      </c>
      <c r="E68" s="156" t="s">
        <v>282</v>
      </c>
      <c r="F68" s="149" t="s">
        <v>70</v>
      </c>
      <c r="G68" s="149">
        <v>623</v>
      </c>
      <c r="H68" s="149">
        <v>0</v>
      </c>
      <c r="I68" s="149">
        <v>63</v>
      </c>
      <c r="J68" s="149" t="s">
        <v>150</v>
      </c>
      <c r="K68" s="149" t="s">
        <v>148</v>
      </c>
      <c r="L68" s="149"/>
      <c r="M68" s="150"/>
      <c r="N68" s="150"/>
      <c r="O68" s="150"/>
      <c r="P68" s="151"/>
      <c r="Q68" s="152"/>
      <c r="R68" s="242" t="str">
        <f t="shared" si="1"/>
        <v>임이*관</v>
      </c>
      <c r="S68" s="243" t="str">
        <f t="shared" si="2"/>
        <v>-</v>
      </c>
      <c r="T68" s="153"/>
      <c r="U68" s="153"/>
      <c r="V68" s="153"/>
      <c r="W68" s="153"/>
      <c r="X68" s="153"/>
    </row>
    <row r="69" spans="1:80" s="176" customFormat="1" ht="24.95" customHeight="1">
      <c r="A69" s="258">
        <v>41</v>
      </c>
      <c r="B69" s="168" t="s">
        <v>46</v>
      </c>
      <c r="C69" s="258">
        <v>41</v>
      </c>
      <c r="D69" s="258" t="s">
        <v>313</v>
      </c>
      <c r="E69" s="220" t="s">
        <v>120</v>
      </c>
      <c r="F69" s="170" t="s">
        <v>72</v>
      </c>
      <c r="G69" s="170">
        <v>55</v>
      </c>
      <c r="H69" s="170">
        <v>55</v>
      </c>
      <c r="I69" s="170">
        <v>55</v>
      </c>
      <c r="J69" s="170" t="s">
        <v>89</v>
      </c>
      <c r="K69" s="170" t="s">
        <v>91</v>
      </c>
      <c r="L69" s="170"/>
      <c r="M69" s="172"/>
      <c r="N69" s="172"/>
      <c r="O69" s="172"/>
      <c r="P69" s="173"/>
      <c r="Q69" s="174"/>
      <c r="R69" s="242" t="str">
        <f t="shared" si="1"/>
        <v>도공</v>
      </c>
      <c r="S69" s="243" t="str">
        <f t="shared" si="2"/>
        <v>-</v>
      </c>
      <c r="T69" s="175"/>
      <c r="U69" s="175"/>
      <c r="V69" s="175"/>
      <c r="W69" s="175"/>
      <c r="X69" s="175"/>
    </row>
    <row r="70" spans="1:80" s="154" customFormat="1" ht="24.95" customHeight="1">
      <c r="A70" s="259">
        <v>42</v>
      </c>
      <c r="B70" s="147" t="s">
        <v>46</v>
      </c>
      <c r="C70" s="259">
        <v>42</v>
      </c>
      <c r="D70" s="259" t="s">
        <v>313</v>
      </c>
      <c r="E70" s="156" t="s">
        <v>284</v>
      </c>
      <c r="F70" s="149" t="s">
        <v>6</v>
      </c>
      <c r="G70" s="149">
        <v>9459</v>
      </c>
      <c r="H70" s="149">
        <v>0</v>
      </c>
      <c r="I70" s="149">
        <v>17</v>
      </c>
      <c r="J70" s="149" t="s">
        <v>152</v>
      </c>
      <c r="K70" s="149" t="s">
        <v>151</v>
      </c>
      <c r="L70" s="149"/>
      <c r="M70" s="150" t="s">
        <v>130</v>
      </c>
      <c r="N70" s="150" t="s">
        <v>147</v>
      </c>
      <c r="O70" s="150" t="s">
        <v>129</v>
      </c>
      <c r="P70" s="151"/>
      <c r="Q70" s="152"/>
      <c r="R70" s="242" t="str">
        <f t="shared" si="1"/>
        <v>답전*님</v>
      </c>
      <c r="S70" s="243" t="str">
        <f t="shared" si="2"/>
        <v>-</v>
      </c>
      <c r="T70" s="153"/>
      <c r="U70" s="153"/>
      <c r="V70" s="153"/>
      <c r="W70" s="153"/>
      <c r="X70" s="153"/>
    </row>
    <row r="71" spans="1:80" s="154" customFormat="1" ht="24.95" customHeight="1">
      <c r="A71" s="259">
        <v>43</v>
      </c>
      <c r="B71" s="147" t="s">
        <v>46</v>
      </c>
      <c r="C71" s="259">
        <v>43</v>
      </c>
      <c r="D71" s="259" t="s">
        <v>313</v>
      </c>
      <c r="E71" s="156" t="s">
        <v>285</v>
      </c>
      <c r="F71" s="149" t="s">
        <v>6</v>
      </c>
      <c r="G71" s="149">
        <v>1168</v>
      </c>
      <c r="H71" s="149">
        <v>0</v>
      </c>
      <c r="I71" s="149">
        <v>215</v>
      </c>
      <c r="J71" s="149" t="s">
        <v>87</v>
      </c>
      <c r="K71" s="149" t="s">
        <v>92</v>
      </c>
      <c r="L71" s="149"/>
      <c r="M71" s="150"/>
      <c r="N71" s="150"/>
      <c r="O71" s="150"/>
      <c r="P71" s="151"/>
      <c r="Q71" s="152"/>
      <c r="R71" s="242" t="str">
        <f t="shared" ref="R71:R134" si="3">CONCATENATE(F71,J71)</f>
        <v>답국</v>
      </c>
      <c r="S71" s="243" t="str">
        <f t="shared" ref="S71:S134" si="4">IF(G71&gt;=I71,"-","err")</f>
        <v>-</v>
      </c>
      <c r="U71" s="153"/>
      <c r="V71" s="153"/>
      <c r="W71" s="153"/>
      <c r="X71" s="153"/>
    </row>
    <row r="72" spans="1:80" s="176" customFormat="1" ht="24.95" customHeight="1">
      <c r="A72" s="258">
        <v>44</v>
      </c>
      <c r="B72" s="168" t="s">
        <v>46</v>
      </c>
      <c r="C72" s="258">
        <v>44</v>
      </c>
      <c r="D72" s="258" t="s">
        <v>313</v>
      </c>
      <c r="E72" s="220" t="s">
        <v>121</v>
      </c>
      <c r="F72" s="170" t="s">
        <v>72</v>
      </c>
      <c r="G72" s="170">
        <v>1740</v>
      </c>
      <c r="H72" s="170">
        <v>0</v>
      </c>
      <c r="I72" s="170">
        <v>7</v>
      </c>
      <c r="J72" s="170" t="s">
        <v>87</v>
      </c>
      <c r="K72" s="170" t="s">
        <v>88</v>
      </c>
      <c r="L72" s="170"/>
      <c r="M72" s="172"/>
      <c r="N72" s="172"/>
      <c r="O72" s="172"/>
      <c r="P72" s="173"/>
      <c r="Q72" s="174"/>
      <c r="R72" s="242" t="str">
        <f t="shared" si="3"/>
        <v>도국</v>
      </c>
      <c r="S72" s="243" t="str">
        <f t="shared" si="4"/>
        <v>-</v>
      </c>
      <c r="T72" s="175"/>
      <c r="U72" s="175"/>
      <c r="V72" s="175"/>
      <c r="W72" s="175"/>
      <c r="X72" s="175"/>
    </row>
    <row r="73" spans="1:80" s="176" customFormat="1" ht="24.95" customHeight="1">
      <c r="A73" s="258">
        <v>45</v>
      </c>
      <c r="B73" s="168" t="s">
        <v>46</v>
      </c>
      <c r="C73" s="258">
        <v>45</v>
      </c>
      <c r="D73" s="111" t="s">
        <v>313</v>
      </c>
      <c r="E73" s="220" t="s">
        <v>122</v>
      </c>
      <c r="F73" s="170" t="s">
        <v>82</v>
      </c>
      <c r="G73" s="170">
        <v>3875</v>
      </c>
      <c r="H73" s="170">
        <v>0</v>
      </c>
      <c r="I73" s="170">
        <v>12</v>
      </c>
      <c r="J73" s="170" t="s">
        <v>87</v>
      </c>
      <c r="K73" s="170" t="s">
        <v>88</v>
      </c>
      <c r="L73" s="170"/>
      <c r="M73" s="172"/>
      <c r="N73" s="172"/>
      <c r="O73" s="172"/>
      <c r="P73" s="173"/>
      <c r="Q73" s="174"/>
      <c r="R73" s="242" t="str">
        <f t="shared" si="3"/>
        <v>구국</v>
      </c>
      <c r="S73" s="243" t="str">
        <f t="shared" si="4"/>
        <v>-</v>
      </c>
      <c r="T73" s="175"/>
      <c r="U73" s="175"/>
      <c r="V73" s="175"/>
      <c r="W73" s="175"/>
      <c r="X73" s="175"/>
    </row>
    <row r="74" spans="1:80" s="140" customFormat="1" ht="24.95" customHeight="1">
      <c r="A74" s="111"/>
      <c r="B74" s="111"/>
      <c r="C74" s="111"/>
      <c r="D74" s="111"/>
      <c r="E74" s="130"/>
      <c r="F74" s="112"/>
      <c r="G74" s="112"/>
      <c r="H74" s="112"/>
      <c r="I74" s="112"/>
      <c r="J74" s="112"/>
      <c r="K74" s="112"/>
      <c r="L74" s="112"/>
      <c r="M74" s="114"/>
      <c r="N74" s="114"/>
      <c r="O74" s="114"/>
      <c r="P74" s="115"/>
      <c r="Q74" s="138"/>
      <c r="R74" s="242" t="str">
        <f t="shared" si="3"/>
        <v/>
      </c>
      <c r="S74" s="243" t="str">
        <f t="shared" si="4"/>
        <v>-</v>
      </c>
      <c r="T74" s="139"/>
      <c r="U74" s="139"/>
      <c r="V74" s="139"/>
      <c r="W74" s="139"/>
      <c r="X74" s="139"/>
    </row>
    <row r="75" spans="1:80" s="140" customFormat="1" ht="24.95" customHeight="1">
      <c r="A75" s="111"/>
      <c r="B75" s="111"/>
      <c r="C75" s="111"/>
      <c r="D75" s="111"/>
      <c r="E75" s="130"/>
      <c r="F75" s="112"/>
      <c r="G75" s="112"/>
      <c r="H75" s="112"/>
      <c r="I75" s="112"/>
      <c r="J75" s="112"/>
      <c r="K75" s="112"/>
      <c r="L75" s="112"/>
      <c r="M75" s="114"/>
      <c r="N75" s="114"/>
      <c r="O75" s="114"/>
      <c r="P75" s="115"/>
      <c r="Q75" s="138"/>
      <c r="R75" s="242" t="str">
        <f t="shared" si="3"/>
        <v/>
      </c>
      <c r="S75" s="243" t="str">
        <f t="shared" si="4"/>
        <v>-</v>
      </c>
      <c r="T75" s="139"/>
      <c r="U75" s="139"/>
      <c r="V75" s="139"/>
      <c r="W75" s="139"/>
      <c r="X75" s="139"/>
    </row>
    <row r="76" spans="1:80" s="140" customFormat="1" ht="24.95" hidden="1" customHeight="1">
      <c r="A76" s="111"/>
      <c r="B76" s="111"/>
      <c r="C76" s="111"/>
      <c r="D76" s="111"/>
      <c r="E76" s="111"/>
      <c r="F76" s="112"/>
      <c r="G76" s="112"/>
      <c r="H76" s="112"/>
      <c r="I76" s="112"/>
      <c r="J76" s="112"/>
      <c r="K76" s="112"/>
      <c r="L76" s="112"/>
      <c r="M76" s="114"/>
      <c r="N76" s="114"/>
      <c r="O76" s="114"/>
      <c r="P76" s="115"/>
      <c r="Q76" s="138"/>
      <c r="R76" s="242" t="str">
        <f t="shared" si="3"/>
        <v/>
      </c>
      <c r="S76" s="243" t="str">
        <f t="shared" si="4"/>
        <v>-</v>
      </c>
      <c r="T76" s="139"/>
      <c r="U76" s="139"/>
      <c r="V76" s="139"/>
      <c r="W76" s="139"/>
      <c r="X76" s="139"/>
    </row>
    <row r="77" spans="1:80" s="140" customFormat="1" ht="24.95" hidden="1" customHeight="1">
      <c r="A77" s="111"/>
      <c r="B77" s="111"/>
      <c r="C77" s="111"/>
      <c r="D77" s="111"/>
      <c r="E77" s="130"/>
      <c r="F77" s="112"/>
      <c r="G77" s="112"/>
      <c r="H77" s="112"/>
      <c r="I77" s="112"/>
      <c r="J77" s="112"/>
      <c r="K77" s="112"/>
      <c r="L77" s="112"/>
      <c r="M77" s="114"/>
      <c r="N77" s="114"/>
      <c r="O77" s="114"/>
      <c r="P77" s="115"/>
      <c r="Q77" s="138"/>
      <c r="R77" s="242" t="str">
        <f t="shared" si="3"/>
        <v/>
      </c>
      <c r="S77" s="243" t="str">
        <f t="shared" si="4"/>
        <v>-</v>
      </c>
      <c r="T77" s="139"/>
      <c r="U77" s="139"/>
      <c r="V77" s="139"/>
      <c r="W77" s="139"/>
      <c r="X77" s="139"/>
    </row>
    <row r="78" spans="1:80" s="140" customFormat="1" ht="30" hidden="1" customHeight="1">
      <c r="A78" s="111"/>
      <c r="B78" s="111"/>
      <c r="C78" s="111"/>
      <c r="D78" s="111"/>
      <c r="E78" s="111"/>
      <c r="F78" s="112"/>
      <c r="G78" s="112"/>
      <c r="H78" s="112"/>
      <c r="I78" s="112"/>
      <c r="J78" s="112"/>
      <c r="K78" s="112"/>
      <c r="L78" s="112"/>
      <c r="M78" s="114"/>
      <c r="N78" s="114"/>
      <c r="O78" s="114"/>
      <c r="P78" s="115"/>
      <c r="Q78" s="138"/>
      <c r="R78" s="242" t="str">
        <f t="shared" si="3"/>
        <v/>
      </c>
      <c r="S78" s="243" t="str">
        <f t="shared" si="4"/>
        <v>-</v>
      </c>
      <c r="T78" s="139"/>
      <c r="U78" s="139"/>
      <c r="V78" s="139"/>
      <c r="W78" s="139"/>
      <c r="X78" s="139"/>
    </row>
    <row r="79" spans="1:80" s="211" customFormat="1" ht="30" hidden="1" customHeight="1">
      <c r="A79" s="207" t="s">
        <v>41</v>
      </c>
      <c r="B79" s="207"/>
      <c r="C79" s="207"/>
      <c r="D79" s="207"/>
      <c r="E79" s="207"/>
      <c r="F79" s="141"/>
      <c r="G79" s="208"/>
      <c r="H79" s="208"/>
      <c r="I79" s="208">
        <f>SUM(I32:I78)</f>
        <v>5181</v>
      </c>
      <c r="J79" s="141"/>
      <c r="K79" s="141"/>
      <c r="L79" s="141"/>
      <c r="M79" s="141"/>
      <c r="N79" s="141"/>
      <c r="O79" s="141"/>
      <c r="P79" s="209"/>
      <c r="Q79" s="138"/>
      <c r="R79" s="242" t="str">
        <f t="shared" si="3"/>
        <v/>
      </c>
      <c r="S79" s="243" t="str">
        <f t="shared" si="4"/>
        <v>err</v>
      </c>
      <c r="T79" s="139"/>
      <c r="U79" s="139"/>
      <c r="V79" s="139"/>
      <c r="W79" s="139"/>
      <c r="X79" s="139"/>
      <c r="Y79" s="210"/>
      <c r="Z79" s="210"/>
      <c r="AA79" s="210"/>
      <c r="AB79" s="210"/>
      <c r="AC79" s="210"/>
      <c r="AD79" s="210"/>
      <c r="AE79" s="210"/>
      <c r="AF79" s="210"/>
      <c r="AG79" s="210"/>
      <c r="AH79" s="210"/>
      <c r="AI79" s="210"/>
      <c r="AJ79" s="210"/>
      <c r="AK79" s="210"/>
      <c r="AL79" s="210"/>
      <c r="AM79" s="210"/>
      <c r="AN79" s="210"/>
      <c r="AO79" s="210"/>
      <c r="AP79" s="210"/>
      <c r="AQ79" s="210"/>
      <c r="AR79" s="210"/>
      <c r="AS79" s="210"/>
      <c r="AT79" s="210"/>
      <c r="AU79" s="210"/>
      <c r="AV79" s="210"/>
      <c r="AW79" s="210"/>
      <c r="AX79" s="210"/>
      <c r="AY79" s="210"/>
      <c r="AZ79" s="210"/>
      <c r="BA79" s="210"/>
      <c r="BB79" s="210"/>
      <c r="BC79" s="210"/>
      <c r="BD79" s="210"/>
      <c r="BE79" s="210"/>
      <c r="BF79" s="210"/>
      <c r="BG79" s="210"/>
      <c r="BH79" s="210"/>
      <c r="BI79" s="210"/>
      <c r="BJ79" s="210"/>
      <c r="BK79" s="210"/>
      <c r="BL79" s="210"/>
      <c r="BM79" s="210"/>
      <c r="BN79" s="210"/>
      <c r="BO79" s="210"/>
      <c r="BP79" s="210"/>
      <c r="BQ79" s="210"/>
      <c r="BR79" s="210"/>
      <c r="BS79" s="210"/>
      <c r="BT79" s="210"/>
      <c r="BU79" s="210"/>
      <c r="BV79" s="210"/>
      <c r="BW79" s="210"/>
      <c r="BX79" s="210"/>
      <c r="BY79" s="210"/>
      <c r="BZ79" s="210"/>
      <c r="CA79" s="210"/>
      <c r="CB79" s="210"/>
    </row>
    <row r="80" spans="1:80" s="140" customFormat="1" ht="35.1" customHeight="1">
      <c r="A80" s="58"/>
      <c r="B80" s="161"/>
      <c r="C80" s="161"/>
      <c r="D80" s="161"/>
      <c r="E80" s="82"/>
      <c r="F80" s="59"/>
      <c r="G80" s="59"/>
      <c r="H80" s="59"/>
      <c r="I80" s="59"/>
      <c r="J80" s="59"/>
      <c r="K80" s="59"/>
      <c r="L80" s="59"/>
      <c r="M80" s="43"/>
      <c r="N80" s="43"/>
      <c r="O80" s="43"/>
      <c r="P80" s="16"/>
      <c r="Q80" s="138"/>
      <c r="R80" s="242" t="str">
        <f t="shared" si="3"/>
        <v/>
      </c>
      <c r="S80" s="243" t="str">
        <f t="shared" si="4"/>
        <v>-</v>
      </c>
      <c r="T80" s="139"/>
      <c r="U80" s="139"/>
      <c r="V80" s="139"/>
      <c r="W80" s="139"/>
      <c r="X80" s="139"/>
    </row>
    <row r="81" spans="1:24" s="140" customFormat="1" ht="35.1" customHeight="1">
      <c r="A81" s="92"/>
      <c r="B81" s="162"/>
      <c r="C81" s="162"/>
      <c r="D81" s="162"/>
      <c r="E81" s="96"/>
      <c r="F81" s="93"/>
      <c r="G81" s="93"/>
      <c r="H81" s="93"/>
      <c r="I81" s="93"/>
      <c r="J81" s="93"/>
      <c r="K81" s="93"/>
      <c r="L81" s="93"/>
      <c r="M81" s="94"/>
      <c r="N81" s="94"/>
      <c r="O81" s="94"/>
      <c r="P81" s="95"/>
      <c r="Q81" s="138"/>
      <c r="R81" s="242" t="str">
        <f t="shared" si="3"/>
        <v/>
      </c>
      <c r="S81" s="243" t="str">
        <f t="shared" si="4"/>
        <v>-</v>
      </c>
      <c r="T81" s="139"/>
      <c r="U81" s="139"/>
      <c r="V81" s="139"/>
      <c r="W81" s="139"/>
      <c r="X81" s="139"/>
    </row>
    <row r="82" spans="1:24" s="140" customFormat="1" ht="35.1" customHeight="1">
      <c r="A82" s="63"/>
      <c r="B82" s="163"/>
      <c r="C82" s="163"/>
      <c r="D82" s="163"/>
      <c r="E82" s="83"/>
      <c r="F82" s="65"/>
      <c r="G82" s="65"/>
      <c r="H82" s="65"/>
      <c r="I82" s="65"/>
      <c r="J82" s="65"/>
      <c r="K82" s="65"/>
      <c r="L82" s="65"/>
      <c r="M82" s="44">
        <v>0</v>
      </c>
      <c r="N82" s="44">
        <v>0</v>
      </c>
      <c r="O82" s="44">
        <v>0</v>
      </c>
      <c r="P82" s="17"/>
      <c r="Q82" s="138"/>
      <c r="R82" s="242" t="str">
        <f t="shared" si="3"/>
        <v/>
      </c>
      <c r="S82" s="243" t="str">
        <f t="shared" si="4"/>
        <v>-</v>
      </c>
      <c r="T82" s="139"/>
      <c r="U82" s="139"/>
      <c r="V82" s="139"/>
      <c r="W82" s="139"/>
      <c r="X82" s="139"/>
    </row>
    <row r="83" spans="1:24" s="140" customFormat="1" ht="35.1" customHeight="1">
      <c r="A83" s="63"/>
      <c r="B83" s="163"/>
      <c r="C83" s="163"/>
      <c r="D83" s="163"/>
      <c r="E83" s="84"/>
      <c r="F83" s="65"/>
      <c r="G83" s="65"/>
      <c r="H83" s="65"/>
      <c r="I83" s="65"/>
      <c r="J83" s="65"/>
      <c r="K83" s="65"/>
      <c r="L83" s="65"/>
      <c r="M83" s="44">
        <v>0</v>
      </c>
      <c r="N83" s="44">
        <v>0</v>
      </c>
      <c r="O83" s="44">
        <v>0</v>
      </c>
      <c r="P83" s="17"/>
      <c r="Q83" s="138"/>
      <c r="R83" s="242" t="str">
        <f t="shared" si="3"/>
        <v/>
      </c>
      <c r="S83" s="243" t="str">
        <f t="shared" si="4"/>
        <v>-</v>
      </c>
      <c r="T83" s="139"/>
      <c r="U83" s="139"/>
      <c r="V83" s="139"/>
      <c r="W83" s="139"/>
      <c r="X83" s="139"/>
    </row>
    <row r="84" spans="1:24" s="140" customFormat="1" ht="35.1" customHeight="1">
      <c r="A84" s="63"/>
      <c r="B84" s="163"/>
      <c r="C84" s="163"/>
      <c r="D84" s="163"/>
      <c r="E84" s="89"/>
      <c r="F84" s="65"/>
      <c r="G84" s="65"/>
      <c r="H84" s="65"/>
      <c r="I84" s="65"/>
      <c r="J84" s="65"/>
      <c r="K84" s="65"/>
      <c r="L84" s="65"/>
      <c r="M84" s="44">
        <v>0</v>
      </c>
      <c r="N84" s="44">
        <v>0</v>
      </c>
      <c r="O84" s="44">
        <v>0</v>
      </c>
      <c r="P84" s="17"/>
      <c r="Q84" s="138"/>
      <c r="R84" s="242" t="str">
        <f t="shared" si="3"/>
        <v/>
      </c>
      <c r="S84" s="243" t="str">
        <f t="shared" si="4"/>
        <v>-</v>
      </c>
      <c r="T84" s="139"/>
      <c r="U84" s="139"/>
      <c r="V84" s="139"/>
      <c r="W84" s="139"/>
      <c r="X84" s="139"/>
    </row>
    <row r="85" spans="1:24" s="140" customFormat="1" ht="35.1" customHeight="1">
      <c r="A85" s="63"/>
      <c r="B85" s="163"/>
      <c r="C85" s="163"/>
      <c r="D85" s="163"/>
      <c r="E85" s="89"/>
      <c r="F85" s="65"/>
      <c r="G85" s="65"/>
      <c r="H85" s="65"/>
      <c r="I85" s="65"/>
      <c r="J85" s="65"/>
      <c r="K85" s="65"/>
      <c r="L85" s="65"/>
      <c r="M85" s="44">
        <v>0</v>
      </c>
      <c r="N85" s="44">
        <v>0</v>
      </c>
      <c r="O85" s="44">
        <v>0</v>
      </c>
      <c r="P85" s="17"/>
      <c r="Q85" s="138"/>
      <c r="R85" s="242" t="str">
        <f t="shared" si="3"/>
        <v/>
      </c>
      <c r="S85" s="243" t="str">
        <f t="shared" si="4"/>
        <v>-</v>
      </c>
      <c r="T85" s="139"/>
      <c r="U85" s="139"/>
      <c r="V85" s="139"/>
      <c r="W85" s="139"/>
      <c r="X85" s="139"/>
    </row>
    <row r="86" spans="1:24" s="140" customFormat="1" ht="35.1" customHeight="1">
      <c r="A86" s="63"/>
      <c r="B86" s="163"/>
      <c r="C86" s="163"/>
      <c r="D86" s="163"/>
      <c r="E86" s="89"/>
      <c r="F86" s="65"/>
      <c r="G86" s="65"/>
      <c r="H86" s="65"/>
      <c r="I86" s="65"/>
      <c r="J86" s="65"/>
      <c r="K86" s="65"/>
      <c r="L86" s="65"/>
      <c r="M86" s="44"/>
      <c r="N86" s="44"/>
      <c r="O86" s="44"/>
      <c r="P86" s="17"/>
      <c r="Q86" s="138"/>
      <c r="R86" s="242" t="str">
        <f t="shared" si="3"/>
        <v/>
      </c>
      <c r="S86" s="243" t="str">
        <f t="shared" si="4"/>
        <v>-</v>
      </c>
      <c r="T86" s="139"/>
      <c r="U86" s="139"/>
      <c r="V86" s="139"/>
      <c r="W86" s="139"/>
      <c r="X86" s="139"/>
    </row>
    <row r="87" spans="1:24" s="140" customFormat="1" ht="35.1" customHeight="1">
      <c r="A87" s="63"/>
      <c r="B87" s="163"/>
      <c r="C87" s="163"/>
      <c r="D87" s="163"/>
      <c r="E87" s="89"/>
      <c r="F87" s="65"/>
      <c r="G87" s="65"/>
      <c r="H87" s="65"/>
      <c r="I87" s="65"/>
      <c r="J87" s="65"/>
      <c r="K87" s="65"/>
      <c r="L87" s="65"/>
      <c r="M87" s="44"/>
      <c r="N87" s="44"/>
      <c r="O87" s="44"/>
      <c r="P87" s="17"/>
      <c r="Q87" s="138"/>
      <c r="R87" s="242" t="str">
        <f t="shared" si="3"/>
        <v/>
      </c>
      <c r="S87" s="243" t="str">
        <f t="shared" si="4"/>
        <v>-</v>
      </c>
      <c r="T87" s="139"/>
      <c r="U87" s="139"/>
      <c r="V87" s="139"/>
      <c r="W87" s="139"/>
      <c r="X87" s="139"/>
    </row>
    <row r="88" spans="1:24" s="140" customFormat="1" ht="35.1" customHeight="1">
      <c r="A88" s="63"/>
      <c r="B88" s="163"/>
      <c r="C88" s="163"/>
      <c r="D88" s="163"/>
      <c r="E88" s="89"/>
      <c r="F88" s="65"/>
      <c r="G88" s="65"/>
      <c r="H88" s="65"/>
      <c r="I88" s="65"/>
      <c r="J88" s="65"/>
      <c r="K88" s="65"/>
      <c r="L88" s="65"/>
      <c r="M88" s="44"/>
      <c r="N88" s="44"/>
      <c r="O88" s="44"/>
      <c r="P88" s="17"/>
      <c r="Q88" s="138"/>
      <c r="R88" s="242" t="str">
        <f t="shared" si="3"/>
        <v/>
      </c>
      <c r="S88" s="243" t="str">
        <f t="shared" si="4"/>
        <v>-</v>
      </c>
      <c r="T88" s="139"/>
      <c r="U88" s="139"/>
      <c r="V88" s="139"/>
      <c r="W88" s="139"/>
      <c r="X88" s="139"/>
    </row>
    <row r="89" spans="1:24" s="140" customFormat="1" ht="35.1" customHeight="1">
      <c r="A89" s="63"/>
      <c r="B89" s="163"/>
      <c r="C89" s="163"/>
      <c r="D89" s="163"/>
      <c r="E89" s="89"/>
      <c r="F89" s="65"/>
      <c r="G89" s="65"/>
      <c r="H89" s="65"/>
      <c r="I89" s="65"/>
      <c r="J89" s="65"/>
      <c r="K89" s="65"/>
      <c r="L89" s="65"/>
      <c r="M89" s="44">
        <v>0</v>
      </c>
      <c r="N89" s="44">
        <v>0</v>
      </c>
      <c r="O89" s="44">
        <v>0</v>
      </c>
      <c r="P89" s="17"/>
      <c r="Q89" s="138"/>
      <c r="R89" s="242" t="str">
        <f t="shared" si="3"/>
        <v/>
      </c>
      <c r="S89" s="243" t="str">
        <f t="shared" si="4"/>
        <v>-</v>
      </c>
      <c r="T89" s="139"/>
      <c r="U89" s="139"/>
      <c r="V89" s="139"/>
      <c r="W89" s="139"/>
      <c r="X89" s="139"/>
    </row>
    <row r="90" spans="1:24" s="140" customFormat="1" ht="35.1" customHeight="1">
      <c r="A90" s="63"/>
      <c r="B90" s="163"/>
      <c r="C90" s="163"/>
      <c r="D90" s="163"/>
      <c r="E90" s="89"/>
      <c r="F90" s="65"/>
      <c r="G90" s="65"/>
      <c r="H90" s="65"/>
      <c r="I90" s="65"/>
      <c r="J90" s="65"/>
      <c r="K90" s="65"/>
      <c r="L90" s="65"/>
      <c r="M90" s="44">
        <v>0</v>
      </c>
      <c r="N90" s="44">
        <v>0</v>
      </c>
      <c r="O90" s="44">
        <v>0</v>
      </c>
      <c r="P90" s="17"/>
      <c r="Q90" s="138"/>
      <c r="R90" s="242" t="str">
        <f t="shared" si="3"/>
        <v/>
      </c>
      <c r="S90" s="243" t="str">
        <f t="shared" si="4"/>
        <v>-</v>
      </c>
      <c r="T90" s="139"/>
      <c r="U90" s="139"/>
      <c r="V90" s="139"/>
      <c r="W90" s="139"/>
      <c r="X90" s="139"/>
    </row>
    <row r="91" spans="1:24" s="140" customFormat="1" ht="35.1" customHeight="1">
      <c r="A91" s="63"/>
      <c r="B91" s="163"/>
      <c r="C91" s="163"/>
      <c r="D91" s="163"/>
      <c r="E91" s="64"/>
      <c r="F91" s="65"/>
      <c r="G91" s="65"/>
      <c r="H91" s="65"/>
      <c r="I91" s="65"/>
      <c r="J91" s="65"/>
      <c r="K91" s="65"/>
      <c r="L91" s="65"/>
      <c r="M91" s="44"/>
      <c r="N91" s="44"/>
      <c r="O91" s="44"/>
      <c r="P91" s="17"/>
      <c r="Q91" s="138"/>
      <c r="R91" s="242" t="str">
        <f t="shared" si="3"/>
        <v/>
      </c>
      <c r="S91" s="243" t="str">
        <f t="shared" si="4"/>
        <v>-</v>
      </c>
      <c r="T91" s="139"/>
      <c r="U91" s="139"/>
      <c r="V91" s="139"/>
      <c r="W91" s="139"/>
      <c r="X91" s="139"/>
    </row>
    <row r="92" spans="1:24" s="140" customFormat="1" ht="35.1" customHeight="1">
      <c r="A92" s="63"/>
      <c r="B92" s="163"/>
      <c r="C92" s="163"/>
      <c r="D92" s="163"/>
      <c r="E92" s="64"/>
      <c r="F92" s="65"/>
      <c r="G92" s="65"/>
      <c r="H92" s="65"/>
      <c r="I92" s="65"/>
      <c r="J92" s="65"/>
      <c r="K92" s="65"/>
      <c r="L92" s="65"/>
      <c r="M92" s="44"/>
      <c r="N92" s="44"/>
      <c r="O92" s="44"/>
      <c r="P92" s="17"/>
      <c r="Q92" s="138"/>
      <c r="R92" s="242" t="str">
        <f t="shared" si="3"/>
        <v/>
      </c>
      <c r="S92" s="243" t="str">
        <f t="shared" si="4"/>
        <v>-</v>
      </c>
      <c r="T92" s="139"/>
      <c r="U92" s="139"/>
      <c r="V92" s="139"/>
      <c r="W92" s="139"/>
      <c r="X92" s="139"/>
    </row>
    <row r="93" spans="1:24" s="140" customFormat="1" ht="35.1" customHeight="1">
      <c r="A93" s="63"/>
      <c r="B93" s="163"/>
      <c r="C93" s="163"/>
      <c r="D93" s="163"/>
      <c r="E93" s="64"/>
      <c r="F93" s="65"/>
      <c r="G93" s="65"/>
      <c r="H93" s="65"/>
      <c r="I93" s="65"/>
      <c r="J93" s="65"/>
      <c r="K93" s="65"/>
      <c r="L93" s="65"/>
      <c r="M93" s="44"/>
      <c r="N93" s="44"/>
      <c r="O93" s="44"/>
      <c r="P93" s="17"/>
      <c r="Q93" s="138"/>
      <c r="R93" s="242" t="str">
        <f t="shared" si="3"/>
        <v/>
      </c>
      <c r="S93" s="243" t="str">
        <f t="shared" si="4"/>
        <v>-</v>
      </c>
      <c r="T93" s="139"/>
      <c r="U93" s="139"/>
      <c r="V93" s="139"/>
      <c r="W93" s="139"/>
      <c r="X93" s="139"/>
    </row>
    <row r="94" spans="1:24" s="140" customFormat="1" ht="35.1" customHeight="1">
      <c r="A94" s="63"/>
      <c r="B94" s="163"/>
      <c r="C94" s="163"/>
      <c r="D94" s="163"/>
      <c r="E94" s="64"/>
      <c r="F94" s="65"/>
      <c r="G94" s="65"/>
      <c r="H94" s="65"/>
      <c r="I94" s="65"/>
      <c r="J94" s="65"/>
      <c r="K94" s="65"/>
      <c r="L94" s="65"/>
      <c r="M94" s="44"/>
      <c r="N94" s="44"/>
      <c r="O94" s="44"/>
      <c r="P94" s="17"/>
      <c r="Q94" s="138"/>
      <c r="R94" s="242" t="str">
        <f t="shared" si="3"/>
        <v/>
      </c>
      <c r="S94" s="243" t="str">
        <f t="shared" si="4"/>
        <v>-</v>
      </c>
      <c r="T94" s="139"/>
      <c r="U94" s="139"/>
      <c r="V94" s="139"/>
      <c r="W94" s="139"/>
      <c r="X94" s="139"/>
    </row>
    <row r="95" spans="1:24" s="140" customFormat="1" ht="35.1" customHeight="1">
      <c r="A95" s="63"/>
      <c r="B95" s="163"/>
      <c r="C95" s="163"/>
      <c r="D95" s="163"/>
      <c r="E95" s="64"/>
      <c r="F95" s="65"/>
      <c r="G95" s="65"/>
      <c r="H95" s="65"/>
      <c r="I95" s="65"/>
      <c r="J95" s="65"/>
      <c r="K95" s="65"/>
      <c r="L95" s="65"/>
      <c r="M95" s="44"/>
      <c r="N95" s="44"/>
      <c r="O95" s="44"/>
      <c r="P95" s="17"/>
      <c r="Q95" s="138"/>
      <c r="R95" s="242" t="str">
        <f t="shared" si="3"/>
        <v/>
      </c>
      <c r="S95" s="243" t="str">
        <f t="shared" si="4"/>
        <v>-</v>
      </c>
      <c r="T95" s="139"/>
      <c r="U95" s="139"/>
      <c r="V95" s="139"/>
      <c r="W95" s="139"/>
      <c r="X95" s="139"/>
    </row>
    <row r="96" spans="1:24" s="140" customFormat="1" ht="35.1" customHeight="1">
      <c r="A96" s="63"/>
      <c r="B96" s="163"/>
      <c r="C96" s="163"/>
      <c r="D96" s="163"/>
      <c r="E96" s="64"/>
      <c r="F96" s="65"/>
      <c r="G96" s="65"/>
      <c r="H96" s="65"/>
      <c r="I96" s="65"/>
      <c r="J96" s="65"/>
      <c r="K96" s="65"/>
      <c r="L96" s="65"/>
      <c r="M96" s="44"/>
      <c r="N96" s="44"/>
      <c r="O96" s="44"/>
      <c r="P96" s="17"/>
      <c r="Q96" s="138"/>
      <c r="R96" s="242" t="str">
        <f t="shared" si="3"/>
        <v/>
      </c>
      <c r="S96" s="243" t="str">
        <f t="shared" si="4"/>
        <v>-</v>
      </c>
      <c r="T96" s="139"/>
      <c r="U96" s="139"/>
      <c r="V96" s="139"/>
      <c r="W96" s="139"/>
      <c r="X96" s="139"/>
    </row>
    <row r="97" spans="1:80" s="140" customFormat="1" ht="35.1" customHeight="1">
      <c r="A97" s="63"/>
      <c r="B97" s="163"/>
      <c r="C97" s="163"/>
      <c r="D97" s="163"/>
      <c r="E97" s="64"/>
      <c r="F97" s="65"/>
      <c r="G97" s="65"/>
      <c r="H97" s="65"/>
      <c r="I97" s="65"/>
      <c r="J97" s="65"/>
      <c r="K97" s="65"/>
      <c r="L97" s="65"/>
      <c r="M97" s="44"/>
      <c r="N97" s="44"/>
      <c r="O97" s="44"/>
      <c r="P97" s="17"/>
      <c r="Q97" s="138"/>
      <c r="R97" s="242" t="str">
        <f t="shared" si="3"/>
        <v/>
      </c>
      <c r="S97" s="243" t="str">
        <f t="shared" si="4"/>
        <v>-</v>
      </c>
      <c r="T97" s="139"/>
      <c r="U97" s="139"/>
      <c r="V97" s="139"/>
      <c r="W97" s="139"/>
      <c r="X97" s="139"/>
    </row>
    <row r="98" spans="1:80" s="140" customFormat="1" ht="35.1" customHeight="1">
      <c r="A98" s="63"/>
      <c r="B98" s="163"/>
      <c r="C98" s="163"/>
      <c r="D98" s="163"/>
      <c r="E98" s="64"/>
      <c r="F98" s="65"/>
      <c r="G98" s="65"/>
      <c r="H98" s="65"/>
      <c r="I98" s="65"/>
      <c r="J98" s="65"/>
      <c r="K98" s="65"/>
      <c r="L98" s="65"/>
      <c r="M98" s="44"/>
      <c r="N98" s="44"/>
      <c r="O98" s="44"/>
      <c r="P98" s="17"/>
      <c r="Q98" s="138"/>
      <c r="R98" s="242" t="str">
        <f t="shared" si="3"/>
        <v/>
      </c>
      <c r="S98" s="243" t="str">
        <f t="shared" si="4"/>
        <v>-</v>
      </c>
      <c r="T98" s="139"/>
      <c r="U98" s="139"/>
      <c r="V98" s="139"/>
      <c r="W98" s="139"/>
      <c r="X98" s="139"/>
    </row>
    <row r="99" spans="1:80" s="140" customFormat="1" ht="35.1" customHeight="1">
      <c r="A99" s="63"/>
      <c r="B99" s="163"/>
      <c r="C99" s="163"/>
      <c r="D99" s="163"/>
      <c r="E99" s="64"/>
      <c r="F99" s="65"/>
      <c r="G99" s="65"/>
      <c r="H99" s="65"/>
      <c r="I99" s="65"/>
      <c r="J99" s="65"/>
      <c r="K99" s="65"/>
      <c r="L99" s="65"/>
      <c r="M99" s="44"/>
      <c r="N99" s="44"/>
      <c r="O99" s="44"/>
      <c r="P99" s="17"/>
      <c r="Q99" s="138"/>
      <c r="R99" s="242" t="str">
        <f t="shared" si="3"/>
        <v/>
      </c>
      <c r="S99" s="243" t="str">
        <f t="shared" si="4"/>
        <v>-</v>
      </c>
      <c r="T99" s="139"/>
      <c r="U99" s="139"/>
      <c r="V99" s="139"/>
      <c r="W99" s="139"/>
      <c r="X99" s="139"/>
    </row>
    <row r="100" spans="1:80" s="211" customFormat="1" ht="35.1" customHeight="1">
      <c r="A100" s="212" t="s">
        <v>41</v>
      </c>
      <c r="B100" s="213"/>
      <c r="C100" s="213"/>
      <c r="D100" s="213"/>
      <c r="E100" s="213"/>
      <c r="F100" s="214"/>
      <c r="G100" s="215"/>
      <c r="H100" s="215"/>
      <c r="I100" s="215">
        <f>SUM(I80:I99)</f>
        <v>0</v>
      </c>
      <c r="J100" s="214"/>
      <c r="K100" s="214"/>
      <c r="L100" s="214"/>
      <c r="M100" s="214"/>
      <c r="N100" s="214"/>
      <c r="O100" s="214"/>
      <c r="P100" s="216"/>
      <c r="Q100" s="138"/>
      <c r="R100" s="242" t="str">
        <f t="shared" si="3"/>
        <v/>
      </c>
      <c r="S100" s="243" t="str">
        <f t="shared" si="4"/>
        <v>-</v>
      </c>
      <c r="T100" s="139"/>
      <c r="U100" s="139"/>
      <c r="V100" s="139"/>
      <c r="W100" s="139"/>
      <c r="X100" s="139"/>
      <c r="Y100" s="210"/>
      <c r="Z100" s="210"/>
      <c r="AA100" s="210"/>
      <c r="AB100" s="210"/>
      <c r="AC100" s="210"/>
      <c r="AD100" s="210"/>
      <c r="AE100" s="210"/>
      <c r="AF100" s="210"/>
      <c r="AG100" s="210"/>
      <c r="AH100" s="210"/>
      <c r="AI100" s="210"/>
      <c r="AJ100" s="210"/>
      <c r="AK100" s="210"/>
      <c r="AL100" s="210"/>
      <c r="AM100" s="210"/>
      <c r="AN100" s="210"/>
      <c r="AO100" s="210"/>
      <c r="AP100" s="210"/>
      <c r="AQ100" s="210"/>
      <c r="AR100" s="210"/>
      <c r="AS100" s="210"/>
      <c r="AT100" s="210"/>
      <c r="AU100" s="210"/>
      <c r="AV100" s="210"/>
      <c r="AW100" s="210"/>
      <c r="AX100" s="210"/>
      <c r="AY100" s="210"/>
      <c r="AZ100" s="210"/>
      <c r="BA100" s="210"/>
      <c r="BB100" s="210"/>
      <c r="BC100" s="210"/>
      <c r="BD100" s="210"/>
      <c r="BE100" s="210"/>
      <c r="BF100" s="210"/>
      <c r="BG100" s="210"/>
      <c r="BH100" s="210"/>
      <c r="BI100" s="210"/>
      <c r="BJ100" s="210"/>
      <c r="BK100" s="210"/>
      <c r="BL100" s="210"/>
      <c r="BM100" s="210"/>
      <c r="BN100" s="210"/>
      <c r="BO100" s="210"/>
      <c r="BP100" s="210"/>
      <c r="BQ100" s="210"/>
      <c r="BR100" s="210"/>
      <c r="BS100" s="210"/>
      <c r="BT100" s="210"/>
      <c r="BU100" s="210"/>
      <c r="BV100" s="210"/>
      <c r="BW100" s="210"/>
      <c r="BX100" s="210"/>
      <c r="BY100" s="210"/>
      <c r="BZ100" s="210"/>
      <c r="CA100" s="210"/>
      <c r="CB100" s="210"/>
    </row>
    <row r="101" spans="1:80" s="140" customFormat="1" ht="35.1" customHeight="1">
      <c r="A101" s="58"/>
      <c r="B101" s="161"/>
      <c r="C101" s="161"/>
      <c r="D101" s="161"/>
      <c r="E101" s="82"/>
      <c r="F101" s="59"/>
      <c r="G101" s="59"/>
      <c r="H101" s="59"/>
      <c r="I101" s="59"/>
      <c r="J101" s="59"/>
      <c r="K101" s="59"/>
      <c r="L101" s="59"/>
      <c r="M101" s="43"/>
      <c r="N101" s="43"/>
      <c r="O101" s="43"/>
      <c r="P101" s="16"/>
      <c r="Q101" s="138"/>
      <c r="R101" s="242" t="str">
        <f t="shared" si="3"/>
        <v/>
      </c>
      <c r="S101" s="243" t="str">
        <f t="shared" si="4"/>
        <v>-</v>
      </c>
      <c r="T101" s="139"/>
      <c r="U101" s="139"/>
      <c r="V101" s="139"/>
      <c r="W101" s="139"/>
      <c r="X101" s="139"/>
    </row>
    <row r="102" spans="1:80" s="140" customFormat="1" ht="35.1" customHeight="1">
      <c r="A102" s="92"/>
      <c r="B102" s="162"/>
      <c r="C102" s="162"/>
      <c r="D102" s="162"/>
      <c r="E102" s="96"/>
      <c r="F102" s="93"/>
      <c r="G102" s="93"/>
      <c r="H102" s="93"/>
      <c r="I102" s="93"/>
      <c r="J102" s="93"/>
      <c r="K102" s="93"/>
      <c r="L102" s="93"/>
      <c r="M102" s="94"/>
      <c r="N102" s="94"/>
      <c r="O102" s="94"/>
      <c r="P102" s="95"/>
      <c r="Q102" s="138"/>
      <c r="R102" s="242" t="str">
        <f t="shared" si="3"/>
        <v/>
      </c>
      <c r="S102" s="243" t="str">
        <f t="shared" si="4"/>
        <v>-</v>
      </c>
      <c r="T102" s="139"/>
      <c r="U102" s="139"/>
      <c r="V102" s="139"/>
      <c r="W102" s="139"/>
      <c r="X102" s="139"/>
    </row>
    <row r="103" spans="1:80" s="140" customFormat="1" ht="35.1" customHeight="1">
      <c r="A103" s="63"/>
      <c r="B103" s="163"/>
      <c r="C103" s="163"/>
      <c r="D103" s="163"/>
      <c r="E103" s="83"/>
      <c r="F103" s="65"/>
      <c r="G103" s="65"/>
      <c r="H103" s="65"/>
      <c r="I103" s="65"/>
      <c r="J103" s="65"/>
      <c r="K103" s="65"/>
      <c r="L103" s="65"/>
      <c r="M103" s="44"/>
      <c r="N103" s="44">
        <v>0</v>
      </c>
      <c r="O103" s="44">
        <v>0</v>
      </c>
      <c r="P103" s="17"/>
      <c r="Q103" s="138"/>
      <c r="R103" s="242" t="str">
        <f t="shared" si="3"/>
        <v/>
      </c>
      <c r="S103" s="243" t="str">
        <f t="shared" si="4"/>
        <v>-</v>
      </c>
      <c r="T103" s="139"/>
      <c r="U103" s="139"/>
      <c r="V103" s="139"/>
      <c r="W103" s="139"/>
      <c r="X103" s="139"/>
    </row>
    <row r="104" spans="1:80" s="140" customFormat="1" ht="35.1" customHeight="1">
      <c r="A104" s="63"/>
      <c r="B104" s="163"/>
      <c r="C104" s="163"/>
      <c r="D104" s="163"/>
      <c r="E104" s="84"/>
      <c r="F104" s="65"/>
      <c r="G104" s="65"/>
      <c r="H104" s="65"/>
      <c r="I104" s="65"/>
      <c r="J104" s="65"/>
      <c r="K104" s="65"/>
      <c r="L104" s="65"/>
      <c r="M104" s="44"/>
      <c r="N104" s="44">
        <v>0</v>
      </c>
      <c r="O104" s="44">
        <v>0</v>
      </c>
      <c r="P104" s="17"/>
      <c r="Q104" s="138"/>
      <c r="R104" s="242" t="str">
        <f t="shared" si="3"/>
        <v/>
      </c>
      <c r="S104" s="243" t="str">
        <f t="shared" si="4"/>
        <v>-</v>
      </c>
      <c r="T104" s="139"/>
      <c r="U104" s="139"/>
      <c r="V104" s="139"/>
      <c r="W104" s="139"/>
      <c r="X104" s="139"/>
    </row>
    <row r="105" spans="1:80" s="140" customFormat="1" ht="35.1" customHeight="1">
      <c r="A105" s="63"/>
      <c r="B105" s="163"/>
      <c r="C105" s="163"/>
      <c r="D105" s="163"/>
      <c r="E105" s="89"/>
      <c r="F105" s="65"/>
      <c r="G105" s="65"/>
      <c r="H105" s="65"/>
      <c r="I105" s="65"/>
      <c r="J105" s="65"/>
      <c r="K105" s="65"/>
      <c r="L105" s="65"/>
      <c r="M105" s="44"/>
      <c r="N105" s="44">
        <v>0</v>
      </c>
      <c r="O105" s="44">
        <v>0</v>
      </c>
      <c r="P105" s="17"/>
      <c r="Q105" s="138"/>
      <c r="R105" s="242" t="str">
        <f t="shared" si="3"/>
        <v/>
      </c>
      <c r="S105" s="243" t="str">
        <f t="shared" si="4"/>
        <v>-</v>
      </c>
      <c r="T105" s="139"/>
      <c r="U105" s="139"/>
      <c r="V105" s="139"/>
      <c r="W105" s="139"/>
      <c r="X105" s="139"/>
    </row>
    <row r="106" spans="1:80" s="140" customFormat="1" ht="35.1" customHeight="1">
      <c r="A106" s="63"/>
      <c r="B106" s="163"/>
      <c r="C106" s="163"/>
      <c r="D106" s="163"/>
      <c r="E106" s="89"/>
      <c r="F106" s="65"/>
      <c r="G106" s="65"/>
      <c r="H106" s="65"/>
      <c r="I106" s="65"/>
      <c r="J106" s="65"/>
      <c r="K106" s="65"/>
      <c r="L106" s="65"/>
      <c r="M106" s="44"/>
      <c r="N106" s="44">
        <v>0</v>
      </c>
      <c r="O106" s="44">
        <v>0</v>
      </c>
      <c r="P106" s="17"/>
      <c r="Q106" s="138"/>
      <c r="R106" s="242" t="str">
        <f t="shared" si="3"/>
        <v/>
      </c>
      <c r="S106" s="243" t="str">
        <f t="shared" si="4"/>
        <v>-</v>
      </c>
      <c r="T106" s="139"/>
      <c r="U106" s="139"/>
      <c r="V106" s="139"/>
      <c r="W106" s="139"/>
      <c r="X106" s="139"/>
    </row>
    <row r="107" spans="1:80" s="140" customFormat="1" ht="35.1" customHeight="1">
      <c r="A107" s="63"/>
      <c r="B107" s="163"/>
      <c r="C107" s="163"/>
      <c r="D107" s="163"/>
      <c r="E107" s="89"/>
      <c r="F107" s="65"/>
      <c r="G107" s="65"/>
      <c r="H107" s="65"/>
      <c r="I107" s="65"/>
      <c r="J107" s="65"/>
      <c r="K107" s="65"/>
      <c r="L107" s="65"/>
      <c r="M107" s="44"/>
      <c r="N107" s="44">
        <v>0</v>
      </c>
      <c r="O107" s="44">
        <v>0</v>
      </c>
      <c r="P107" s="17"/>
      <c r="Q107" s="138"/>
      <c r="R107" s="242" t="str">
        <f t="shared" si="3"/>
        <v/>
      </c>
      <c r="S107" s="243" t="str">
        <f t="shared" si="4"/>
        <v>-</v>
      </c>
      <c r="T107" s="139"/>
      <c r="U107" s="139"/>
      <c r="V107" s="139"/>
      <c r="W107" s="139"/>
      <c r="X107" s="139"/>
    </row>
    <row r="108" spans="1:80" s="140" customFormat="1" ht="35.1" customHeight="1">
      <c r="A108" s="63"/>
      <c r="B108" s="163"/>
      <c r="C108" s="163"/>
      <c r="D108" s="163"/>
      <c r="E108" s="89"/>
      <c r="F108" s="65"/>
      <c r="G108" s="65"/>
      <c r="H108" s="65"/>
      <c r="I108" s="65"/>
      <c r="J108" s="65"/>
      <c r="K108" s="65"/>
      <c r="L108" s="65"/>
      <c r="M108" s="44"/>
      <c r="N108" s="44"/>
      <c r="O108" s="44"/>
      <c r="P108" s="17"/>
      <c r="Q108" s="138"/>
      <c r="R108" s="242" t="str">
        <f t="shared" si="3"/>
        <v/>
      </c>
      <c r="S108" s="243" t="str">
        <f t="shared" si="4"/>
        <v>-</v>
      </c>
      <c r="T108" s="139"/>
      <c r="U108" s="139"/>
      <c r="V108" s="139"/>
      <c r="W108" s="139"/>
      <c r="X108" s="139"/>
    </row>
    <row r="109" spans="1:80" s="140" customFormat="1" ht="35.1" customHeight="1">
      <c r="A109" s="63"/>
      <c r="B109" s="163"/>
      <c r="C109" s="163"/>
      <c r="D109" s="163"/>
      <c r="E109" s="89"/>
      <c r="F109" s="65"/>
      <c r="G109" s="65"/>
      <c r="H109" s="65"/>
      <c r="I109" s="65"/>
      <c r="J109" s="65"/>
      <c r="K109" s="65"/>
      <c r="L109" s="65"/>
      <c r="M109" s="44"/>
      <c r="N109" s="44">
        <v>0</v>
      </c>
      <c r="O109" s="44">
        <v>0</v>
      </c>
      <c r="P109" s="17"/>
      <c r="Q109" s="138"/>
      <c r="R109" s="242" t="str">
        <f t="shared" si="3"/>
        <v/>
      </c>
      <c r="S109" s="243" t="str">
        <f t="shared" si="4"/>
        <v>-</v>
      </c>
      <c r="T109" s="139"/>
      <c r="U109" s="139"/>
      <c r="V109" s="139"/>
      <c r="W109" s="139"/>
      <c r="X109" s="139"/>
    </row>
    <row r="110" spans="1:80" s="140" customFormat="1" ht="35.1" customHeight="1">
      <c r="A110" s="63"/>
      <c r="B110" s="163"/>
      <c r="C110" s="163"/>
      <c r="D110" s="163"/>
      <c r="E110" s="89"/>
      <c r="F110" s="65"/>
      <c r="G110" s="65"/>
      <c r="H110" s="65"/>
      <c r="I110" s="65"/>
      <c r="J110" s="65"/>
      <c r="K110" s="65"/>
      <c r="L110" s="65"/>
      <c r="M110" s="44"/>
      <c r="N110" s="44">
        <v>0</v>
      </c>
      <c r="O110" s="44">
        <v>0</v>
      </c>
      <c r="P110" s="17"/>
      <c r="Q110" s="138"/>
      <c r="R110" s="242" t="str">
        <f t="shared" si="3"/>
        <v/>
      </c>
      <c r="S110" s="243" t="str">
        <f t="shared" si="4"/>
        <v>-</v>
      </c>
      <c r="T110" s="139"/>
      <c r="U110" s="139"/>
      <c r="V110" s="139"/>
      <c r="W110" s="139"/>
      <c r="X110" s="139"/>
    </row>
    <row r="111" spans="1:80" s="140" customFormat="1" ht="35.1" customHeight="1">
      <c r="A111" s="63"/>
      <c r="B111" s="163"/>
      <c r="C111" s="163"/>
      <c r="D111" s="163"/>
      <c r="E111" s="89"/>
      <c r="F111" s="65"/>
      <c r="G111" s="65"/>
      <c r="H111" s="65"/>
      <c r="I111" s="65"/>
      <c r="J111" s="65"/>
      <c r="K111" s="65"/>
      <c r="L111" s="65"/>
      <c r="M111" s="44"/>
      <c r="N111" s="44">
        <v>0</v>
      </c>
      <c r="O111" s="44">
        <v>0</v>
      </c>
      <c r="P111" s="17"/>
      <c r="Q111" s="138"/>
      <c r="R111" s="242" t="str">
        <f t="shared" si="3"/>
        <v/>
      </c>
      <c r="S111" s="243" t="str">
        <f t="shared" si="4"/>
        <v>-</v>
      </c>
      <c r="T111" s="139"/>
      <c r="U111" s="139"/>
      <c r="V111" s="139"/>
      <c r="W111" s="139"/>
      <c r="X111" s="139"/>
    </row>
    <row r="112" spans="1:80" s="140" customFormat="1" ht="35.1" customHeight="1">
      <c r="A112" s="63"/>
      <c r="B112" s="163"/>
      <c r="C112" s="163"/>
      <c r="D112" s="163"/>
      <c r="E112" s="64"/>
      <c r="F112" s="65"/>
      <c r="G112" s="65"/>
      <c r="H112" s="65"/>
      <c r="I112" s="65"/>
      <c r="J112" s="65"/>
      <c r="K112" s="65"/>
      <c r="L112" s="65"/>
      <c r="M112" s="44"/>
      <c r="N112" s="44"/>
      <c r="O112" s="44"/>
      <c r="P112" s="17"/>
      <c r="Q112" s="138"/>
      <c r="R112" s="242" t="str">
        <f t="shared" si="3"/>
        <v/>
      </c>
      <c r="S112" s="243" t="str">
        <f t="shared" si="4"/>
        <v>-</v>
      </c>
      <c r="T112" s="139"/>
      <c r="U112" s="139"/>
      <c r="V112" s="139"/>
      <c r="W112" s="139"/>
      <c r="X112" s="139"/>
    </row>
    <row r="113" spans="1:80" s="140" customFormat="1" ht="35.1" customHeight="1">
      <c r="A113" s="63"/>
      <c r="B113" s="163"/>
      <c r="C113" s="163"/>
      <c r="D113" s="163"/>
      <c r="E113" s="64"/>
      <c r="F113" s="65"/>
      <c r="G113" s="65"/>
      <c r="H113" s="65"/>
      <c r="I113" s="65"/>
      <c r="J113" s="65"/>
      <c r="K113" s="65"/>
      <c r="L113" s="65"/>
      <c r="M113" s="44"/>
      <c r="N113" s="44"/>
      <c r="O113" s="44"/>
      <c r="P113" s="17"/>
      <c r="Q113" s="138"/>
      <c r="R113" s="242" t="str">
        <f t="shared" si="3"/>
        <v/>
      </c>
      <c r="S113" s="243" t="str">
        <f t="shared" si="4"/>
        <v>-</v>
      </c>
      <c r="T113" s="139"/>
      <c r="U113" s="139"/>
      <c r="V113" s="139"/>
      <c r="W113" s="139"/>
      <c r="X113" s="139"/>
    </row>
    <row r="114" spans="1:80" s="140" customFormat="1" ht="35.1" customHeight="1">
      <c r="A114" s="63"/>
      <c r="B114" s="163"/>
      <c r="C114" s="163"/>
      <c r="D114" s="163"/>
      <c r="E114" s="64"/>
      <c r="F114" s="65"/>
      <c r="G114" s="65"/>
      <c r="H114" s="65"/>
      <c r="I114" s="65"/>
      <c r="J114" s="65"/>
      <c r="K114" s="65"/>
      <c r="L114" s="65"/>
      <c r="M114" s="44"/>
      <c r="N114" s="44"/>
      <c r="O114" s="44"/>
      <c r="P114" s="17"/>
      <c r="Q114" s="138"/>
      <c r="R114" s="242" t="str">
        <f t="shared" si="3"/>
        <v/>
      </c>
      <c r="S114" s="243" t="str">
        <f t="shared" si="4"/>
        <v>-</v>
      </c>
      <c r="T114" s="139"/>
      <c r="U114" s="139"/>
      <c r="V114" s="139"/>
      <c r="W114" s="139"/>
      <c r="X114" s="139"/>
    </row>
    <row r="115" spans="1:80" s="140" customFormat="1" ht="35.1" customHeight="1">
      <c r="A115" s="63"/>
      <c r="B115" s="163"/>
      <c r="C115" s="163"/>
      <c r="D115" s="163"/>
      <c r="E115" s="64"/>
      <c r="F115" s="65"/>
      <c r="G115" s="65"/>
      <c r="H115" s="65"/>
      <c r="I115" s="65"/>
      <c r="J115" s="65"/>
      <c r="K115" s="65"/>
      <c r="L115" s="65"/>
      <c r="M115" s="44"/>
      <c r="N115" s="44"/>
      <c r="O115" s="44"/>
      <c r="P115" s="17"/>
      <c r="Q115" s="138"/>
      <c r="R115" s="242" t="str">
        <f t="shared" si="3"/>
        <v/>
      </c>
      <c r="S115" s="243" t="str">
        <f t="shared" si="4"/>
        <v>-</v>
      </c>
      <c r="T115" s="139"/>
      <c r="U115" s="139"/>
      <c r="V115" s="139"/>
      <c r="W115" s="139"/>
      <c r="X115" s="139"/>
    </row>
    <row r="116" spans="1:80" s="140" customFormat="1" ht="35.1" customHeight="1">
      <c r="A116" s="63"/>
      <c r="B116" s="163"/>
      <c r="C116" s="163"/>
      <c r="D116" s="163"/>
      <c r="E116" s="64"/>
      <c r="F116" s="65"/>
      <c r="G116" s="65"/>
      <c r="H116" s="65"/>
      <c r="I116" s="65"/>
      <c r="J116" s="65"/>
      <c r="K116" s="65"/>
      <c r="L116" s="65"/>
      <c r="M116" s="44"/>
      <c r="N116" s="44"/>
      <c r="O116" s="44"/>
      <c r="P116" s="17"/>
      <c r="Q116" s="138"/>
      <c r="R116" s="242" t="str">
        <f t="shared" si="3"/>
        <v/>
      </c>
      <c r="S116" s="243" t="str">
        <f t="shared" si="4"/>
        <v>-</v>
      </c>
      <c r="T116" s="139"/>
      <c r="U116" s="139"/>
      <c r="V116" s="139"/>
      <c r="W116" s="139"/>
      <c r="X116" s="139"/>
    </row>
    <row r="117" spans="1:80" s="140" customFormat="1" ht="35.1" customHeight="1">
      <c r="A117" s="63"/>
      <c r="B117" s="163"/>
      <c r="C117" s="163"/>
      <c r="D117" s="163"/>
      <c r="E117" s="64"/>
      <c r="F117" s="65"/>
      <c r="G117" s="65"/>
      <c r="H117" s="65"/>
      <c r="I117" s="65"/>
      <c r="J117" s="65"/>
      <c r="K117" s="65"/>
      <c r="L117" s="65"/>
      <c r="M117" s="44"/>
      <c r="N117" s="44"/>
      <c r="O117" s="44"/>
      <c r="P117" s="17"/>
      <c r="Q117" s="138"/>
      <c r="R117" s="242" t="str">
        <f t="shared" si="3"/>
        <v/>
      </c>
      <c r="S117" s="243" t="str">
        <f t="shared" si="4"/>
        <v>-</v>
      </c>
      <c r="T117" s="139"/>
      <c r="U117" s="139"/>
      <c r="V117" s="139"/>
      <c r="W117" s="139"/>
      <c r="X117" s="139"/>
    </row>
    <row r="118" spans="1:80" s="140" customFormat="1" ht="35.1" customHeight="1">
      <c r="A118" s="63"/>
      <c r="B118" s="163"/>
      <c r="C118" s="163"/>
      <c r="D118" s="163"/>
      <c r="E118" s="64"/>
      <c r="F118" s="65"/>
      <c r="G118" s="65"/>
      <c r="H118" s="65"/>
      <c r="I118" s="65"/>
      <c r="J118" s="65"/>
      <c r="K118" s="65"/>
      <c r="L118" s="65"/>
      <c r="M118" s="44"/>
      <c r="N118" s="44"/>
      <c r="O118" s="44"/>
      <c r="P118" s="17"/>
      <c r="Q118" s="138"/>
      <c r="R118" s="242" t="str">
        <f t="shared" si="3"/>
        <v/>
      </c>
      <c r="S118" s="243" t="str">
        <f t="shared" si="4"/>
        <v>-</v>
      </c>
      <c r="T118" s="139"/>
      <c r="U118" s="139"/>
      <c r="V118" s="139"/>
      <c r="W118" s="139"/>
      <c r="X118" s="139"/>
    </row>
    <row r="119" spans="1:80" s="140" customFormat="1" ht="35.1" customHeight="1">
      <c r="A119" s="63"/>
      <c r="B119" s="163"/>
      <c r="C119" s="163"/>
      <c r="D119" s="163"/>
      <c r="E119" s="64"/>
      <c r="F119" s="65"/>
      <c r="G119" s="65"/>
      <c r="H119" s="65"/>
      <c r="I119" s="65"/>
      <c r="J119" s="65"/>
      <c r="K119" s="65"/>
      <c r="L119" s="65"/>
      <c r="M119" s="44"/>
      <c r="N119" s="44"/>
      <c r="O119" s="44"/>
      <c r="P119" s="17"/>
      <c r="Q119" s="138"/>
      <c r="R119" s="242" t="str">
        <f t="shared" si="3"/>
        <v/>
      </c>
      <c r="S119" s="243" t="str">
        <f t="shared" si="4"/>
        <v>-</v>
      </c>
      <c r="T119" s="139"/>
      <c r="U119" s="139"/>
      <c r="V119" s="139"/>
      <c r="W119" s="139"/>
      <c r="X119" s="139"/>
    </row>
    <row r="120" spans="1:80" s="140" customFormat="1" ht="35.1" customHeight="1">
      <c r="A120" s="63"/>
      <c r="B120" s="163"/>
      <c r="C120" s="163"/>
      <c r="D120" s="163"/>
      <c r="E120" s="64"/>
      <c r="F120" s="65"/>
      <c r="G120" s="65"/>
      <c r="H120" s="65"/>
      <c r="I120" s="65"/>
      <c r="J120" s="65"/>
      <c r="K120" s="65"/>
      <c r="L120" s="65"/>
      <c r="M120" s="44"/>
      <c r="N120" s="44"/>
      <c r="O120" s="44"/>
      <c r="P120" s="17"/>
      <c r="Q120" s="138"/>
      <c r="R120" s="242" t="str">
        <f t="shared" si="3"/>
        <v/>
      </c>
      <c r="S120" s="243" t="str">
        <f t="shared" si="4"/>
        <v>-</v>
      </c>
      <c r="T120" s="139"/>
      <c r="U120" s="139"/>
      <c r="V120" s="139"/>
      <c r="W120" s="139"/>
      <c r="X120" s="139"/>
    </row>
    <row r="121" spans="1:80" s="211" customFormat="1" ht="35.1" customHeight="1">
      <c r="A121" s="212" t="s">
        <v>41</v>
      </c>
      <c r="B121" s="213"/>
      <c r="C121" s="213"/>
      <c r="D121" s="213"/>
      <c r="E121" s="213"/>
      <c r="F121" s="214"/>
      <c r="G121" s="215"/>
      <c r="H121" s="215"/>
      <c r="I121" s="215">
        <f>SUM(I101:I120)</f>
        <v>0</v>
      </c>
      <c r="J121" s="214"/>
      <c r="K121" s="214"/>
      <c r="L121" s="214"/>
      <c r="M121" s="214"/>
      <c r="N121" s="214"/>
      <c r="O121" s="214"/>
      <c r="P121" s="216"/>
      <c r="Q121" s="138"/>
      <c r="R121" s="242" t="str">
        <f t="shared" si="3"/>
        <v/>
      </c>
      <c r="S121" s="243" t="str">
        <f t="shared" si="4"/>
        <v>-</v>
      </c>
      <c r="T121" s="139"/>
      <c r="U121" s="139"/>
      <c r="V121" s="139"/>
      <c r="W121" s="139"/>
      <c r="X121" s="139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  <c r="AI121" s="210"/>
      <c r="AJ121" s="210"/>
      <c r="AK121" s="210"/>
      <c r="AL121" s="210"/>
      <c r="AM121" s="210"/>
      <c r="AN121" s="210"/>
      <c r="AO121" s="210"/>
      <c r="AP121" s="210"/>
      <c r="AQ121" s="210"/>
      <c r="AR121" s="210"/>
      <c r="AS121" s="210"/>
      <c r="AT121" s="210"/>
      <c r="AU121" s="210"/>
      <c r="AV121" s="210"/>
      <c r="AW121" s="210"/>
      <c r="AX121" s="210"/>
      <c r="AY121" s="210"/>
      <c r="AZ121" s="210"/>
      <c r="BA121" s="210"/>
      <c r="BB121" s="210"/>
      <c r="BC121" s="210"/>
      <c r="BD121" s="210"/>
      <c r="BE121" s="210"/>
      <c r="BF121" s="210"/>
      <c r="BG121" s="210"/>
      <c r="BH121" s="210"/>
      <c r="BI121" s="210"/>
      <c r="BJ121" s="210"/>
      <c r="BK121" s="210"/>
      <c r="BL121" s="210"/>
      <c r="BM121" s="210"/>
      <c r="BN121" s="210"/>
      <c r="BO121" s="210"/>
      <c r="BP121" s="210"/>
      <c r="BQ121" s="210"/>
      <c r="BR121" s="210"/>
      <c r="BS121" s="210"/>
      <c r="BT121" s="210"/>
      <c r="BU121" s="210"/>
      <c r="BV121" s="210"/>
      <c r="BW121" s="210"/>
      <c r="BX121" s="210"/>
      <c r="BY121" s="210"/>
      <c r="BZ121" s="210"/>
      <c r="CA121" s="210"/>
      <c r="CB121" s="210"/>
    </row>
    <row r="122" spans="1:80" s="140" customFormat="1" ht="35.1" customHeight="1">
      <c r="A122" s="58"/>
      <c r="B122" s="161"/>
      <c r="C122" s="161"/>
      <c r="D122" s="161"/>
      <c r="E122" s="82"/>
      <c r="F122" s="59"/>
      <c r="G122" s="59"/>
      <c r="H122" s="59"/>
      <c r="I122" s="59"/>
      <c r="J122" s="59"/>
      <c r="K122" s="59"/>
      <c r="L122" s="59"/>
      <c r="M122" s="43"/>
      <c r="N122" s="43"/>
      <c r="O122" s="43"/>
      <c r="P122" s="16"/>
      <c r="Q122" s="138"/>
      <c r="R122" s="242" t="str">
        <f t="shared" si="3"/>
        <v/>
      </c>
      <c r="S122" s="243" t="str">
        <f t="shared" si="4"/>
        <v>-</v>
      </c>
      <c r="T122" s="139"/>
      <c r="U122" s="139"/>
      <c r="V122" s="139"/>
      <c r="W122" s="139"/>
      <c r="X122" s="139"/>
    </row>
    <row r="123" spans="1:80" s="140" customFormat="1" ht="35.1" customHeight="1">
      <c r="A123" s="92"/>
      <c r="B123" s="162"/>
      <c r="C123" s="162"/>
      <c r="D123" s="162"/>
      <c r="E123" s="96"/>
      <c r="F123" s="93"/>
      <c r="G123" s="93"/>
      <c r="H123" s="93"/>
      <c r="I123" s="93"/>
      <c r="J123" s="93"/>
      <c r="K123" s="93"/>
      <c r="L123" s="93"/>
      <c r="M123" s="94"/>
      <c r="N123" s="94"/>
      <c r="O123" s="94"/>
      <c r="P123" s="95"/>
      <c r="Q123" s="138"/>
      <c r="R123" s="242" t="str">
        <f t="shared" si="3"/>
        <v/>
      </c>
      <c r="S123" s="243" t="str">
        <f t="shared" si="4"/>
        <v>-</v>
      </c>
      <c r="T123" s="139"/>
      <c r="U123" s="139"/>
      <c r="V123" s="139"/>
      <c r="W123" s="139"/>
      <c r="X123" s="139"/>
    </row>
    <row r="124" spans="1:80" s="140" customFormat="1" ht="35.1" customHeight="1">
      <c r="A124" s="63"/>
      <c r="B124" s="163"/>
      <c r="C124" s="163"/>
      <c r="D124" s="163"/>
      <c r="E124" s="83"/>
      <c r="F124" s="65"/>
      <c r="G124" s="65"/>
      <c r="H124" s="65"/>
      <c r="I124" s="65"/>
      <c r="J124" s="65"/>
      <c r="K124" s="65"/>
      <c r="L124" s="65"/>
      <c r="M124" s="44">
        <v>0</v>
      </c>
      <c r="N124" s="44">
        <v>0</v>
      </c>
      <c r="O124" s="44">
        <v>0</v>
      </c>
      <c r="P124" s="17"/>
      <c r="Q124" s="138"/>
      <c r="R124" s="242" t="str">
        <f t="shared" si="3"/>
        <v/>
      </c>
      <c r="S124" s="243" t="str">
        <f t="shared" si="4"/>
        <v>-</v>
      </c>
      <c r="T124" s="139"/>
      <c r="U124" s="139"/>
      <c r="V124" s="139"/>
      <c r="W124" s="139"/>
      <c r="X124" s="139"/>
    </row>
    <row r="125" spans="1:80" s="140" customFormat="1" ht="35.1" customHeight="1">
      <c r="A125" s="63"/>
      <c r="B125" s="163"/>
      <c r="C125" s="163"/>
      <c r="D125" s="163"/>
      <c r="E125" s="84"/>
      <c r="F125" s="65"/>
      <c r="G125" s="65"/>
      <c r="H125" s="65"/>
      <c r="I125" s="65"/>
      <c r="J125" s="65"/>
      <c r="K125" s="65"/>
      <c r="L125" s="65"/>
      <c r="M125" s="44">
        <v>0</v>
      </c>
      <c r="N125" s="44">
        <v>0</v>
      </c>
      <c r="O125" s="44">
        <v>0</v>
      </c>
      <c r="P125" s="17"/>
      <c r="Q125" s="138"/>
      <c r="R125" s="242" t="str">
        <f t="shared" si="3"/>
        <v/>
      </c>
      <c r="S125" s="243" t="str">
        <f t="shared" si="4"/>
        <v>-</v>
      </c>
      <c r="T125" s="139"/>
      <c r="U125" s="139"/>
      <c r="V125" s="139"/>
      <c r="W125" s="139"/>
      <c r="X125" s="139"/>
    </row>
    <row r="126" spans="1:80" s="140" customFormat="1" ht="35.1" customHeight="1">
      <c r="A126" s="63"/>
      <c r="B126" s="163"/>
      <c r="C126" s="163"/>
      <c r="D126" s="163"/>
      <c r="E126" s="89"/>
      <c r="F126" s="65"/>
      <c r="G126" s="65"/>
      <c r="H126" s="65"/>
      <c r="I126" s="65"/>
      <c r="J126" s="65"/>
      <c r="K126" s="65"/>
      <c r="L126" s="65"/>
      <c r="M126" s="44">
        <v>0</v>
      </c>
      <c r="N126" s="44">
        <v>0</v>
      </c>
      <c r="O126" s="44">
        <v>0</v>
      </c>
      <c r="P126" s="17"/>
      <c r="Q126" s="138"/>
      <c r="R126" s="242" t="str">
        <f t="shared" si="3"/>
        <v/>
      </c>
      <c r="S126" s="243" t="str">
        <f t="shared" si="4"/>
        <v>-</v>
      </c>
      <c r="T126" s="139"/>
      <c r="U126" s="139"/>
      <c r="V126" s="139"/>
      <c r="W126" s="139"/>
      <c r="X126" s="139"/>
    </row>
    <row r="127" spans="1:80" s="140" customFormat="1" ht="35.1" customHeight="1">
      <c r="A127" s="63"/>
      <c r="B127" s="163"/>
      <c r="C127" s="163"/>
      <c r="D127" s="163"/>
      <c r="E127" s="89"/>
      <c r="F127" s="65"/>
      <c r="G127" s="65"/>
      <c r="H127" s="65"/>
      <c r="I127" s="65"/>
      <c r="J127" s="65"/>
      <c r="K127" s="65"/>
      <c r="L127" s="65"/>
      <c r="M127" s="44">
        <v>0</v>
      </c>
      <c r="N127" s="44">
        <v>0</v>
      </c>
      <c r="O127" s="44">
        <v>0</v>
      </c>
      <c r="P127" s="17"/>
      <c r="Q127" s="138"/>
      <c r="R127" s="242" t="str">
        <f t="shared" si="3"/>
        <v/>
      </c>
      <c r="S127" s="243" t="str">
        <f t="shared" si="4"/>
        <v>-</v>
      </c>
      <c r="T127" s="139"/>
      <c r="U127" s="139"/>
      <c r="V127" s="139"/>
      <c r="W127" s="139"/>
      <c r="X127" s="139"/>
    </row>
    <row r="128" spans="1:80" s="140" customFormat="1" ht="35.1" customHeight="1">
      <c r="A128" s="63"/>
      <c r="B128" s="163"/>
      <c r="C128" s="163"/>
      <c r="D128" s="163"/>
      <c r="E128" s="89"/>
      <c r="F128" s="65"/>
      <c r="G128" s="65"/>
      <c r="H128" s="65"/>
      <c r="I128" s="65"/>
      <c r="J128" s="65"/>
      <c r="K128" s="65"/>
      <c r="L128" s="65"/>
      <c r="M128" s="44"/>
      <c r="N128" s="44"/>
      <c r="O128" s="44"/>
      <c r="P128" s="17"/>
      <c r="Q128" s="138"/>
      <c r="R128" s="242" t="str">
        <f t="shared" si="3"/>
        <v/>
      </c>
      <c r="S128" s="243" t="str">
        <f t="shared" si="4"/>
        <v>-</v>
      </c>
      <c r="T128" s="139"/>
      <c r="U128" s="139"/>
      <c r="V128" s="139"/>
      <c r="W128" s="139"/>
      <c r="X128" s="139"/>
    </row>
    <row r="129" spans="1:80" s="140" customFormat="1" ht="35.1" customHeight="1">
      <c r="A129" s="63"/>
      <c r="B129" s="163"/>
      <c r="C129" s="163"/>
      <c r="D129" s="163"/>
      <c r="E129" s="89"/>
      <c r="F129" s="65"/>
      <c r="G129" s="65"/>
      <c r="H129" s="65"/>
      <c r="I129" s="65"/>
      <c r="J129" s="65"/>
      <c r="K129" s="65"/>
      <c r="L129" s="65"/>
      <c r="M129" s="44"/>
      <c r="N129" s="44"/>
      <c r="O129" s="44"/>
      <c r="P129" s="17"/>
      <c r="Q129" s="138"/>
      <c r="R129" s="242" t="str">
        <f t="shared" si="3"/>
        <v/>
      </c>
      <c r="S129" s="243" t="str">
        <f t="shared" si="4"/>
        <v>-</v>
      </c>
      <c r="T129" s="139"/>
      <c r="U129" s="139"/>
      <c r="V129" s="139"/>
      <c r="W129" s="139"/>
      <c r="X129" s="139"/>
    </row>
    <row r="130" spans="1:80" s="140" customFormat="1" ht="35.1" customHeight="1">
      <c r="A130" s="63"/>
      <c r="B130" s="163"/>
      <c r="C130" s="163"/>
      <c r="D130" s="163"/>
      <c r="E130" s="89"/>
      <c r="F130" s="65"/>
      <c r="G130" s="65"/>
      <c r="H130" s="65"/>
      <c r="I130" s="65"/>
      <c r="J130" s="65"/>
      <c r="K130" s="65"/>
      <c r="L130" s="65"/>
      <c r="M130" s="44"/>
      <c r="N130" s="44"/>
      <c r="O130" s="44"/>
      <c r="P130" s="17"/>
      <c r="Q130" s="138"/>
      <c r="R130" s="242" t="str">
        <f t="shared" si="3"/>
        <v/>
      </c>
      <c r="S130" s="243" t="str">
        <f t="shared" si="4"/>
        <v>-</v>
      </c>
      <c r="T130" s="139"/>
      <c r="U130" s="139"/>
      <c r="V130" s="139"/>
      <c r="W130" s="139"/>
      <c r="X130" s="139"/>
    </row>
    <row r="131" spans="1:80" s="140" customFormat="1" ht="35.1" customHeight="1">
      <c r="A131" s="63"/>
      <c r="B131" s="163"/>
      <c r="C131" s="163"/>
      <c r="D131" s="163"/>
      <c r="E131" s="89"/>
      <c r="F131" s="65"/>
      <c r="G131" s="65"/>
      <c r="H131" s="65"/>
      <c r="I131" s="65"/>
      <c r="J131" s="65"/>
      <c r="K131" s="65"/>
      <c r="L131" s="65"/>
      <c r="M131" s="44">
        <v>0</v>
      </c>
      <c r="N131" s="44">
        <v>0</v>
      </c>
      <c r="O131" s="44">
        <v>0</v>
      </c>
      <c r="P131" s="17"/>
      <c r="Q131" s="138"/>
      <c r="R131" s="242" t="str">
        <f t="shared" si="3"/>
        <v/>
      </c>
      <c r="S131" s="243" t="str">
        <f t="shared" si="4"/>
        <v>-</v>
      </c>
      <c r="T131" s="139"/>
      <c r="U131" s="139"/>
      <c r="V131" s="139"/>
      <c r="W131" s="139"/>
      <c r="X131" s="139"/>
    </row>
    <row r="132" spans="1:80" s="140" customFormat="1" ht="35.1" customHeight="1">
      <c r="A132" s="63"/>
      <c r="B132" s="163"/>
      <c r="C132" s="163"/>
      <c r="D132" s="163"/>
      <c r="E132" s="89"/>
      <c r="F132" s="65"/>
      <c r="G132" s="65"/>
      <c r="H132" s="65"/>
      <c r="I132" s="65"/>
      <c r="J132" s="65"/>
      <c r="K132" s="65"/>
      <c r="L132" s="65"/>
      <c r="M132" s="44">
        <v>0</v>
      </c>
      <c r="N132" s="44">
        <v>0</v>
      </c>
      <c r="O132" s="44">
        <v>0</v>
      </c>
      <c r="P132" s="17"/>
      <c r="Q132" s="138"/>
      <c r="R132" s="242" t="str">
        <f t="shared" si="3"/>
        <v/>
      </c>
      <c r="S132" s="243" t="str">
        <f t="shared" si="4"/>
        <v>-</v>
      </c>
      <c r="T132" s="139"/>
      <c r="U132" s="139"/>
      <c r="V132" s="139"/>
      <c r="W132" s="139"/>
      <c r="X132" s="139"/>
    </row>
    <row r="133" spans="1:80" s="140" customFormat="1" ht="35.1" customHeight="1">
      <c r="A133" s="63"/>
      <c r="B133" s="163"/>
      <c r="C133" s="163"/>
      <c r="D133" s="163"/>
      <c r="E133" s="64"/>
      <c r="F133" s="65"/>
      <c r="G133" s="65"/>
      <c r="H133" s="65"/>
      <c r="I133" s="65"/>
      <c r="J133" s="65"/>
      <c r="K133" s="65"/>
      <c r="L133" s="65"/>
      <c r="M133" s="44"/>
      <c r="N133" s="44"/>
      <c r="O133" s="44"/>
      <c r="P133" s="17"/>
      <c r="Q133" s="138"/>
      <c r="R133" s="242" t="str">
        <f t="shared" si="3"/>
        <v/>
      </c>
      <c r="S133" s="243" t="str">
        <f t="shared" si="4"/>
        <v>-</v>
      </c>
      <c r="T133" s="139"/>
      <c r="U133" s="139"/>
      <c r="V133" s="139"/>
      <c r="W133" s="139"/>
      <c r="X133" s="139"/>
    </row>
    <row r="134" spans="1:80" s="140" customFormat="1" ht="35.1" customHeight="1">
      <c r="A134" s="63"/>
      <c r="B134" s="163"/>
      <c r="C134" s="163"/>
      <c r="D134" s="163"/>
      <c r="E134" s="64"/>
      <c r="F134" s="65"/>
      <c r="G134" s="65"/>
      <c r="H134" s="65"/>
      <c r="I134" s="65"/>
      <c r="J134" s="65"/>
      <c r="K134" s="65"/>
      <c r="L134" s="65"/>
      <c r="M134" s="44"/>
      <c r="N134" s="44"/>
      <c r="O134" s="44"/>
      <c r="P134" s="17"/>
      <c r="Q134" s="138"/>
      <c r="R134" s="242" t="str">
        <f t="shared" si="3"/>
        <v/>
      </c>
      <c r="S134" s="243" t="str">
        <f t="shared" si="4"/>
        <v>-</v>
      </c>
      <c r="T134" s="139"/>
      <c r="U134" s="139"/>
      <c r="V134" s="139"/>
      <c r="W134" s="139"/>
      <c r="X134" s="139"/>
    </row>
    <row r="135" spans="1:80" s="140" customFormat="1" ht="35.1" customHeight="1">
      <c r="A135" s="63"/>
      <c r="B135" s="163"/>
      <c r="C135" s="163"/>
      <c r="D135" s="163"/>
      <c r="E135" s="64"/>
      <c r="F135" s="65"/>
      <c r="G135" s="65"/>
      <c r="H135" s="65"/>
      <c r="I135" s="65"/>
      <c r="J135" s="65"/>
      <c r="K135" s="65"/>
      <c r="L135" s="65"/>
      <c r="M135" s="44"/>
      <c r="N135" s="44"/>
      <c r="O135" s="44"/>
      <c r="P135" s="17"/>
      <c r="Q135" s="138"/>
      <c r="R135" s="242" t="str">
        <f t="shared" ref="R135:R198" si="5">CONCATENATE(F135,J135)</f>
        <v/>
      </c>
      <c r="S135" s="243" t="str">
        <f t="shared" ref="S135:S198" si="6">IF(G135&gt;=I135,"-","err")</f>
        <v>-</v>
      </c>
      <c r="T135" s="139"/>
      <c r="U135" s="139"/>
      <c r="V135" s="139"/>
      <c r="W135" s="139"/>
      <c r="X135" s="139"/>
    </row>
    <row r="136" spans="1:80" s="140" customFormat="1" ht="35.1" customHeight="1">
      <c r="A136" s="63"/>
      <c r="B136" s="163"/>
      <c r="C136" s="163"/>
      <c r="D136" s="163"/>
      <c r="E136" s="64"/>
      <c r="F136" s="65"/>
      <c r="G136" s="65"/>
      <c r="H136" s="65"/>
      <c r="I136" s="65"/>
      <c r="J136" s="65"/>
      <c r="K136" s="65"/>
      <c r="L136" s="65"/>
      <c r="M136" s="44"/>
      <c r="N136" s="44"/>
      <c r="O136" s="44"/>
      <c r="P136" s="17"/>
      <c r="Q136" s="138"/>
      <c r="R136" s="242" t="str">
        <f t="shared" si="5"/>
        <v/>
      </c>
      <c r="S136" s="243" t="str">
        <f t="shared" si="6"/>
        <v>-</v>
      </c>
      <c r="T136" s="139"/>
      <c r="U136" s="139"/>
      <c r="V136" s="139"/>
      <c r="W136" s="139"/>
      <c r="X136" s="139"/>
    </row>
    <row r="137" spans="1:80" s="140" customFormat="1" ht="35.1" customHeight="1">
      <c r="A137" s="63"/>
      <c r="B137" s="163"/>
      <c r="C137" s="163"/>
      <c r="D137" s="163"/>
      <c r="E137" s="64"/>
      <c r="F137" s="65"/>
      <c r="G137" s="65"/>
      <c r="H137" s="65"/>
      <c r="I137" s="65"/>
      <c r="J137" s="65"/>
      <c r="K137" s="65"/>
      <c r="L137" s="65"/>
      <c r="M137" s="44"/>
      <c r="N137" s="44"/>
      <c r="O137" s="44"/>
      <c r="P137" s="17"/>
      <c r="Q137" s="138"/>
      <c r="R137" s="242" t="str">
        <f t="shared" si="5"/>
        <v/>
      </c>
      <c r="S137" s="243" t="str">
        <f t="shared" si="6"/>
        <v>-</v>
      </c>
      <c r="T137" s="139"/>
      <c r="U137" s="139"/>
      <c r="V137" s="139"/>
      <c r="W137" s="139"/>
      <c r="X137" s="139"/>
    </row>
    <row r="138" spans="1:80" s="140" customFormat="1" ht="35.1" customHeight="1">
      <c r="A138" s="63"/>
      <c r="B138" s="163"/>
      <c r="C138" s="163"/>
      <c r="D138" s="163"/>
      <c r="E138" s="64"/>
      <c r="F138" s="65"/>
      <c r="G138" s="65"/>
      <c r="H138" s="65"/>
      <c r="I138" s="65"/>
      <c r="J138" s="65"/>
      <c r="K138" s="65"/>
      <c r="L138" s="65"/>
      <c r="M138" s="44"/>
      <c r="N138" s="44"/>
      <c r="O138" s="44"/>
      <c r="P138" s="17"/>
      <c r="Q138" s="138"/>
      <c r="R138" s="242" t="str">
        <f t="shared" si="5"/>
        <v/>
      </c>
      <c r="S138" s="243" t="str">
        <f t="shared" si="6"/>
        <v>-</v>
      </c>
      <c r="T138" s="139"/>
      <c r="U138" s="139"/>
      <c r="V138" s="139"/>
      <c r="W138" s="139"/>
      <c r="X138" s="139"/>
    </row>
    <row r="139" spans="1:80" s="140" customFormat="1" ht="35.1" customHeight="1">
      <c r="A139" s="63"/>
      <c r="B139" s="163"/>
      <c r="C139" s="163"/>
      <c r="D139" s="163"/>
      <c r="E139" s="64"/>
      <c r="F139" s="65"/>
      <c r="G139" s="65"/>
      <c r="H139" s="65"/>
      <c r="I139" s="65"/>
      <c r="J139" s="65"/>
      <c r="K139" s="65"/>
      <c r="L139" s="65"/>
      <c r="M139" s="44"/>
      <c r="N139" s="44"/>
      <c r="O139" s="44"/>
      <c r="P139" s="17"/>
      <c r="Q139" s="138"/>
      <c r="R139" s="242" t="str">
        <f t="shared" si="5"/>
        <v/>
      </c>
      <c r="S139" s="243" t="str">
        <f t="shared" si="6"/>
        <v>-</v>
      </c>
      <c r="T139" s="139"/>
      <c r="U139" s="139"/>
      <c r="V139" s="139"/>
      <c r="W139" s="139"/>
      <c r="X139" s="139"/>
    </row>
    <row r="140" spans="1:80" s="140" customFormat="1" ht="35.1" customHeight="1">
      <c r="A140" s="63"/>
      <c r="B140" s="163"/>
      <c r="C140" s="163"/>
      <c r="D140" s="163"/>
      <c r="E140" s="64"/>
      <c r="F140" s="65"/>
      <c r="G140" s="65"/>
      <c r="H140" s="65"/>
      <c r="I140" s="65"/>
      <c r="J140" s="65"/>
      <c r="K140" s="65"/>
      <c r="L140" s="65"/>
      <c r="M140" s="44"/>
      <c r="N140" s="44"/>
      <c r="O140" s="44"/>
      <c r="P140" s="17"/>
      <c r="Q140" s="138"/>
      <c r="R140" s="242" t="str">
        <f t="shared" si="5"/>
        <v/>
      </c>
      <c r="S140" s="243" t="str">
        <f t="shared" si="6"/>
        <v>-</v>
      </c>
      <c r="T140" s="139"/>
      <c r="U140" s="139"/>
      <c r="V140" s="139"/>
      <c r="W140" s="139"/>
      <c r="X140" s="139"/>
    </row>
    <row r="141" spans="1:80" s="140" customFormat="1" ht="35.1" customHeight="1">
      <c r="A141" s="63"/>
      <c r="B141" s="163"/>
      <c r="C141" s="163"/>
      <c r="D141" s="163"/>
      <c r="E141" s="64"/>
      <c r="F141" s="65"/>
      <c r="G141" s="65"/>
      <c r="H141" s="65"/>
      <c r="I141" s="65"/>
      <c r="J141" s="65"/>
      <c r="K141" s="65"/>
      <c r="L141" s="65"/>
      <c r="M141" s="44"/>
      <c r="N141" s="44"/>
      <c r="O141" s="44"/>
      <c r="P141" s="17"/>
      <c r="Q141" s="138"/>
      <c r="R141" s="242" t="str">
        <f t="shared" si="5"/>
        <v/>
      </c>
      <c r="S141" s="243" t="str">
        <f t="shared" si="6"/>
        <v>-</v>
      </c>
      <c r="T141" s="139"/>
      <c r="U141" s="139"/>
      <c r="V141" s="139"/>
      <c r="W141" s="139"/>
      <c r="X141" s="139"/>
    </row>
    <row r="142" spans="1:80" s="211" customFormat="1" ht="35.1" customHeight="1">
      <c r="A142" s="212" t="s">
        <v>41</v>
      </c>
      <c r="B142" s="213"/>
      <c r="C142" s="213"/>
      <c r="D142" s="213"/>
      <c r="E142" s="213"/>
      <c r="F142" s="214"/>
      <c r="G142" s="215"/>
      <c r="H142" s="215"/>
      <c r="I142" s="215">
        <f>SUM(I122:I141)</f>
        <v>0</v>
      </c>
      <c r="J142" s="214"/>
      <c r="K142" s="214"/>
      <c r="L142" s="214"/>
      <c r="M142" s="214"/>
      <c r="N142" s="214"/>
      <c r="O142" s="214"/>
      <c r="P142" s="216"/>
      <c r="Q142" s="138"/>
      <c r="R142" s="242" t="str">
        <f t="shared" si="5"/>
        <v/>
      </c>
      <c r="S142" s="243" t="str">
        <f t="shared" si="6"/>
        <v>-</v>
      </c>
      <c r="T142" s="139"/>
      <c r="U142" s="139"/>
      <c r="V142" s="139"/>
      <c r="W142" s="139"/>
      <c r="X142" s="139"/>
      <c r="Y142" s="210"/>
      <c r="Z142" s="210"/>
      <c r="AA142" s="210"/>
      <c r="AB142" s="210"/>
      <c r="AC142" s="210"/>
      <c r="AD142" s="210"/>
      <c r="AE142" s="210"/>
      <c r="AF142" s="210"/>
      <c r="AG142" s="210"/>
      <c r="AH142" s="210"/>
      <c r="AI142" s="210"/>
      <c r="AJ142" s="210"/>
      <c r="AK142" s="210"/>
      <c r="AL142" s="210"/>
      <c r="AM142" s="210"/>
      <c r="AN142" s="210"/>
      <c r="AO142" s="210"/>
      <c r="AP142" s="210"/>
      <c r="AQ142" s="210"/>
      <c r="AR142" s="210"/>
      <c r="AS142" s="210"/>
      <c r="AT142" s="210"/>
      <c r="AU142" s="210"/>
      <c r="AV142" s="210"/>
      <c r="AW142" s="210"/>
      <c r="AX142" s="210"/>
      <c r="AY142" s="210"/>
      <c r="AZ142" s="210"/>
      <c r="BA142" s="210"/>
      <c r="BB142" s="210"/>
      <c r="BC142" s="210"/>
      <c r="BD142" s="210"/>
      <c r="BE142" s="210"/>
      <c r="BF142" s="210"/>
      <c r="BG142" s="210"/>
      <c r="BH142" s="210"/>
      <c r="BI142" s="210"/>
      <c r="BJ142" s="210"/>
      <c r="BK142" s="210"/>
      <c r="BL142" s="210"/>
      <c r="BM142" s="210"/>
      <c r="BN142" s="210"/>
      <c r="BO142" s="210"/>
      <c r="BP142" s="210"/>
      <c r="BQ142" s="210"/>
      <c r="BR142" s="210"/>
      <c r="BS142" s="210"/>
      <c r="BT142" s="210"/>
      <c r="BU142" s="210"/>
      <c r="BV142" s="210"/>
      <c r="BW142" s="210"/>
      <c r="BX142" s="210"/>
      <c r="BY142" s="210"/>
      <c r="BZ142" s="210"/>
      <c r="CA142" s="210"/>
      <c r="CB142" s="210"/>
    </row>
    <row r="143" spans="1:80" s="140" customFormat="1" ht="35.1" customHeight="1">
      <c r="A143" s="58"/>
      <c r="B143" s="161"/>
      <c r="C143" s="161"/>
      <c r="D143" s="161"/>
      <c r="E143" s="82"/>
      <c r="F143" s="59"/>
      <c r="G143" s="59"/>
      <c r="H143" s="59"/>
      <c r="I143" s="59"/>
      <c r="J143" s="59"/>
      <c r="K143" s="59"/>
      <c r="L143" s="59"/>
      <c r="M143" s="43"/>
      <c r="N143" s="43"/>
      <c r="O143" s="43"/>
      <c r="P143" s="16"/>
      <c r="Q143" s="138"/>
      <c r="R143" s="242" t="str">
        <f t="shared" si="5"/>
        <v/>
      </c>
      <c r="S143" s="243" t="str">
        <f t="shared" si="6"/>
        <v>-</v>
      </c>
      <c r="T143" s="139"/>
      <c r="U143" s="139"/>
      <c r="V143" s="139"/>
      <c r="W143" s="139"/>
      <c r="X143" s="139"/>
    </row>
    <row r="144" spans="1:80" s="140" customFormat="1" ht="35.1" customHeight="1">
      <c r="A144" s="92"/>
      <c r="B144" s="162"/>
      <c r="C144" s="162"/>
      <c r="D144" s="162"/>
      <c r="E144" s="96"/>
      <c r="F144" s="93"/>
      <c r="G144" s="93"/>
      <c r="H144" s="93"/>
      <c r="I144" s="93"/>
      <c r="J144" s="93"/>
      <c r="K144" s="93"/>
      <c r="L144" s="93"/>
      <c r="M144" s="94"/>
      <c r="N144" s="94"/>
      <c r="O144" s="94"/>
      <c r="P144" s="95"/>
      <c r="Q144" s="138"/>
      <c r="R144" s="242" t="str">
        <f t="shared" si="5"/>
        <v/>
      </c>
      <c r="S144" s="243" t="str">
        <f t="shared" si="6"/>
        <v>-</v>
      </c>
      <c r="T144" s="139"/>
      <c r="U144" s="139"/>
      <c r="V144" s="139"/>
      <c r="W144" s="139"/>
      <c r="X144" s="139"/>
    </row>
    <row r="145" spans="1:24" s="140" customFormat="1" ht="35.1" customHeight="1">
      <c r="A145" s="63"/>
      <c r="B145" s="163"/>
      <c r="C145" s="163"/>
      <c r="D145" s="163"/>
      <c r="E145" s="83"/>
      <c r="F145" s="65"/>
      <c r="G145" s="65"/>
      <c r="H145" s="65"/>
      <c r="I145" s="65"/>
      <c r="J145" s="65"/>
      <c r="K145" s="65"/>
      <c r="L145" s="65"/>
      <c r="M145" s="44"/>
      <c r="N145" s="44">
        <v>0</v>
      </c>
      <c r="O145" s="44">
        <v>0</v>
      </c>
      <c r="P145" s="17"/>
      <c r="Q145" s="138"/>
      <c r="R145" s="242" t="str">
        <f t="shared" si="5"/>
        <v/>
      </c>
      <c r="S145" s="243" t="str">
        <f t="shared" si="6"/>
        <v>-</v>
      </c>
      <c r="T145" s="139"/>
      <c r="U145" s="139"/>
      <c r="V145" s="139"/>
      <c r="W145" s="139"/>
      <c r="X145" s="139"/>
    </row>
    <row r="146" spans="1:24" s="140" customFormat="1" ht="35.1" customHeight="1">
      <c r="A146" s="63"/>
      <c r="B146" s="163"/>
      <c r="C146" s="163"/>
      <c r="D146" s="163"/>
      <c r="E146" s="84"/>
      <c r="F146" s="65"/>
      <c r="G146" s="65"/>
      <c r="H146" s="65"/>
      <c r="I146" s="65"/>
      <c r="J146" s="65"/>
      <c r="K146" s="65"/>
      <c r="L146" s="65"/>
      <c r="M146" s="44"/>
      <c r="N146" s="44">
        <v>0</v>
      </c>
      <c r="O146" s="44">
        <v>0</v>
      </c>
      <c r="P146" s="17"/>
      <c r="Q146" s="138"/>
      <c r="R146" s="242" t="str">
        <f t="shared" si="5"/>
        <v/>
      </c>
      <c r="S146" s="243" t="str">
        <f t="shared" si="6"/>
        <v>-</v>
      </c>
      <c r="T146" s="139"/>
      <c r="U146" s="139"/>
      <c r="V146" s="139"/>
      <c r="W146" s="139"/>
      <c r="X146" s="139"/>
    </row>
    <row r="147" spans="1:24" s="140" customFormat="1" ht="35.1" customHeight="1">
      <c r="A147" s="63"/>
      <c r="B147" s="163"/>
      <c r="C147" s="163"/>
      <c r="D147" s="163"/>
      <c r="E147" s="89"/>
      <c r="F147" s="65"/>
      <c r="G147" s="65"/>
      <c r="H147" s="65"/>
      <c r="I147" s="65"/>
      <c r="J147" s="65"/>
      <c r="K147" s="65"/>
      <c r="L147" s="65"/>
      <c r="M147" s="44"/>
      <c r="N147" s="44">
        <v>0</v>
      </c>
      <c r="O147" s="44">
        <v>0</v>
      </c>
      <c r="P147" s="17"/>
      <c r="Q147" s="138"/>
      <c r="R147" s="242" t="str">
        <f t="shared" si="5"/>
        <v/>
      </c>
      <c r="S147" s="243" t="str">
        <f t="shared" si="6"/>
        <v>-</v>
      </c>
      <c r="T147" s="139"/>
      <c r="U147" s="139"/>
      <c r="V147" s="139"/>
      <c r="W147" s="139"/>
      <c r="X147" s="139"/>
    </row>
    <row r="148" spans="1:24" s="140" customFormat="1" ht="35.1" customHeight="1">
      <c r="A148" s="63"/>
      <c r="B148" s="163"/>
      <c r="C148" s="163"/>
      <c r="D148" s="163"/>
      <c r="E148" s="89"/>
      <c r="F148" s="65"/>
      <c r="G148" s="65"/>
      <c r="H148" s="65"/>
      <c r="I148" s="65"/>
      <c r="J148" s="65"/>
      <c r="K148" s="65"/>
      <c r="L148" s="65"/>
      <c r="M148" s="44"/>
      <c r="N148" s="44">
        <v>0</v>
      </c>
      <c r="O148" s="44">
        <v>0</v>
      </c>
      <c r="P148" s="17"/>
      <c r="Q148" s="138"/>
      <c r="R148" s="242" t="str">
        <f t="shared" si="5"/>
        <v/>
      </c>
      <c r="S148" s="243" t="str">
        <f t="shared" si="6"/>
        <v>-</v>
      </c>
      <c r="T148" s="139"/>
      <c r="U148" s="139"/>
      <c r="V148" s="139"/>
      <c r="W148" s="139"/>
      <c r="X148" s="139"/>
    </row>
    <row r="149" spans="1:24" s="140" customFormat="1" ht="35.1" customHeight="1">
      <c r="A149" s="63"/>
      <c r="B149" s="163"/>
      <c r="C149" s="163"/>
      <c r="D149" s="163"/>
      <c r="E149" s="89"/>
      <c r="F149" s="65"/>
      <c r="G149" s="65"/>
      <c r="H149" s="65"/>
      <c r="I149" s="65"/>
      <c r="J149" s="65"/>
      <c r="K149" s="65"/>
      <c r="L149" s="65"/>
      <c r="M149" s="44"/>
      <c r="N149" s="44">
        <v>0</v>
      </c>
      <c r="O149" s="44">
        <v>0</v>
      </c>
      <c r="P149" s="17"/>
      <c r="Q149" s="138"/>
      <c r="R149" s="242" t="str">
        <f t="shared" si="5"/>
        <v/>
      </c>
      <c r="S149" s="243" t="str">
        <f t="shared" si="6"/>
        <v>-</v>
      </c>
      <c r="T149" s="139"/>
      <c r="U149" s="139"/>
      <c r="V149" s="139"/>
      <c r="W149" s="139"/>
      <c r="X149" s="139"/>
    </row>
    <row r="150" spans="1:24" s="140" customFormat="1" ht="35.1" customHeight="1">
      <c r="A150" s="63"/>
      <c r="B150" s="163"/>
      <c r="C150" s="163"/>
      <c r="D150" s="163"/>
      <c r="E150" s="89"/>
      <c r="F150" s="65"/>
      <c r="G150" s="65"/>
      <c r="H150" s="65"/>
      <c r="I150" s="65"/>
      <c r="J150" s="65"/>
      <c r="K150" s="65"/>
      <c r="L150" s="65"/>
      <c r="M150" s="44"/>
      <c r="N150" s="44"/>
      <c r="O150" s="44"/>
      <c r="P150" s="17"/>
      <c r="Q150" s="138"/>
      <c r="R150" s="242" t="str">
        <f t="shared" si="5"/>
        <v/>
      </c>
      <c r="S150" s="243" t="str">
        <f t="shared" si="6"/>
        <v>-</v>
      </c>
      <c r="T150" s="139"/>
      <c r="U150" s="139"/>
      <c r="V150" s="139"/>
      <c r="W150" s="139"/>
      <c r="X150" s="139"/>
    </row>
    <row r="151" spans="1:24" s="140" customFormat="1" ht="35.1" customHeight="1">
      <c r="A151" s="63"/>
      <c r="B151" s="163"/>
      <c r="C151" s="163"/>
      <c r="D151" s="163"/>
      <c r="E151" s="89"/>
      <c r="F151" s="65"/>
      <c r="G151" s="65"/>
      <c r="H151" s="65"/>
      <c r="I151" s="65"/>
      <c r="J151" s="65"/>
      <c r="K151" s="65"/>
      <c r="L151" s="65"/>
      <c r="M151" s="44"/>
      <c r="N151" s="44">
        <v>0</v>
      </c>
      <c r="O151" s="44">
        <v>0</v>
      </c>
      <c r="P151" s="17"/>
      <c r="Q151" s="138"/>
      <c r="R151" s="242" t="str">
        <f t="shared" si="5"/>
        <v/>
      </c>
      <c r="S151" s="243" t="str">
        <f t="shared" si="6"/>
        <v>-</v>
      </c>
      <c r="T151" s="139"/>
      <c r="U151" s="139"/>
      <c r="V151" s="139"/>
      <c r="W151" s="139"/>
      <c r="X151" s="139"/>
    </row>
    <row r="152" spans="1:24" s="140" customFormat="1" ht="35.1" customHeight="1">
      <c r="A152" s="63"/>
      <c r="B152" s="163"/>
      <c r="C152" s="163"/>
      <c r="D152" s="163"/>
      <c r="E152" s="89"/>
      <c r="F152" s="65"/>
      <c r="G152" s="65"/>
      <c r="H152" s="65"/>
      <c r="I152" s="65"/>
      <c r="J152" s="65"/>
      <c r="K152" s="65"/>
      <c r="L152" s="65"/>
      <c r="M152" s="44"/>
      <c r="N152" s="44">
        <v>0</v>
      </c>
      <c r="O152" s="44">
        <v>0</v>
      </c>
      <c r="P152" s="17"/>
      <c r="Q152" s="138"/>
      <c r="R152" s="242" t="str">
        <f t="shared" si="5"/>
        <v/>
      </c>
      <c r="S152" s="243" t="str">
        <f t="shared" si="6"/>
        <v>-</v>
      </c>
      <c r="T152" s="139"/>
      <c r="U152" s="139"/>
      <c r="V152" s="139"/>
      <c r="W152" s="139"/>
      <c r="X152" s="139"/>
    </row>
    <row r="153" spans="1:24" s="140" customFormat="1" ht="35.1" customHeight="1">
      <c r="A153" s="63"/>
      <c r="B153" s="163"/>
      <c r="C153" s="163"/>
      <c r="D153" s="163"/>
      <c r="E153" s="89"/>
      <c r="F153" s="65"/>
      <c r="G153" s="65"/>
      <c r="H153" s="65"/>
      <c r="I153" s="65"/>
      <c r="J153" s="65"/>
      <c r="K153" s="65"/>
      <c r="L153" s="65"/>
      <c r="M153" s="44"/>
      <c r="N153" s="44">
        <v>0</v>
      </c>
      <c r="O153" s="44">
        <v>0</v>
      </c>
      <c r="P153" s="17"/>
      <c r="Q153" s="138"/>
      <c r="R153" s="242" t="str">
        <f t="shared" si="5"/>
        <v/>
      </c>
      <c r="S153" s="243" t="str">
        <f t="shared" si="6"/>
        <v>-</v>
      </c>
      <c r="T153" s="139"/>
      <c r="U153" s="139"/>
      <c r="V153" s="139"/>
      <c r="W153" s="139"/>
      <c r="X153" s="139"/>
    </row>
    <row r="154" spans="1:24" s="140" customFormat="1" ht="35.1" customHeight="1">
      <c r="A154" s="63"/>
      <c r="B154" s="163"/>
      <c r="C154" s="163"/>
      <c r="D154" s="163"/>
      <c r="E154" s="64"/>
      <c r="F154" s="65"/>
      <c r="G154" s="65"/>
      <c r="H154" s="65"/>
      <c r="I154" s="65"/>
      <c r="J154" s="65"/>
      <c r="K154" s="65"/>
      <c r="L154" s="65"/>
      <c r="M154" s="44"/>
      <c r="N154" s="44"/>
      <c r="O154" s="44"/>
      <c r="P154" s="17"/>
      <c r="Q154" s="138"/>
      <c r="R154" s="242" t="str">
        <f t="shared" si="5"/>
        <v/>
      </c>
      <c r="S154" s="243" t="str">
        <f t="shared" si="6"/>
        <v>-</v>
      </c>
      <c r="T154" s="139"/>
      <c r="U154" s="139"/>
      <c r="V154" s="139"/>
      <c r="W154" s="139"/>
      <c r="X154" s="139"/>
    </row>
    <row r="155" spans="1:24" s="140" customFormat="1" ht="35.1" customHeight="1">
      <c r="A155" s="63"/>
      <c r="B155" s="163"/>
      <c r="C155" s="163"/>
      <c r="D155" s="163"/>
      <c r="E155" s="64"/>
      <c r="F155" s="65"/>
      <c r="G155" s="65"/>
      <c r="H155" s="65"/>
      <c r="I155" s="65"/>
      <c r="J155" s="65"/>
      <c r="K155" s="65"/>
      <c r="L155" s="65"/>
      <c r="M155" s="44"/>
      <c r="N155" s="44"/>
      <c r="O155" s="44"/>
      <c r="P155" s="17"/>
      <c r="Q155" s="138"/>
      <c r="R155" s="242" t="str">
        <f t="shared" si="5"/>
        <v/>
      </c>
      <c r="S155" s="243" t="str">
        <f t="shared" si="6"/>
        <v>-</v>
      </c>
      <c r="T155" s="139"/>
      <c r="U155" s="139"/>
      <c r="V155" s="139"/>
      <c r="W155" s="139"/>
      <c r="X155" s="139"/>
    </row>
    <row r="156" spans="1:24" s="140" customFormat="1" ht="35.1" customHeight="1">
      <c r="A156" s="63"/>
      <c r="B156" s="163"/>
      <c r="C156" s="163"/>
      <c r="D156" s="163"/>
      <c r="E156" s="64"/>
      <c r="F156" s="65"/>
      <c r="G156" s="65"/>
      <c r="H156" s="65"/>
      <c r="I156" s="65"/>
      <c r="J156" s="65"/>
      <c r="K156" s="65"/>
      <c r="L156" s="65"/>
      <c r="M156" s="44"/>
      <c r="N156" s="44"/>
      <c r="O156" s="44"/>
      <c r="P156" s="17"/>
      <c r="Q156" s="138"/>
      <c r="R156" s="242" t="str">
        <f t="shared" si="5"/>
        <v/>
      </c>
      <c r="S156" s="243" t="str">
        <f t="shared" si="6"/>
        <v>-</v>
      </c>
      <c r="T156" s="139"/>
      <c r="U156" s="139"/>
      <c r="V156" s="139"/>
      <c r="W156" s="139"/>
      <c r="X156" s="139"/>
    </row>
    <row r="157" spans="1:24" s="140" customFormat="1" ht="35.1" customHeight="1">
      <c r="A157" s="63"/>
      <c r="B157" s="163"/>
      <c r="C157" s="163"/>
      <c r="D157" s="163"/>
      <c r="E157" s="64"/>
      <c r="F157" s="65"/>
      <c r="G157" s="65"/>
      <c r="H157" s="65"/>
      <c r="I157" s="65"/>
      <c r="J157" s="65"/>
      <c r="K157" s="65"/>
      <c r="L157" s="65"/>
      <c r="M157" s="44"/>
      <c r="N157" s="44"/>
      <c r="O157" s="44"/>
      <c r="P157" s="17"/>
      <c r="Q157" s="138"/>
      <c r="R157" s="242" t="str">
        <f t="shared" si="5"/>
        <v/>
      </c>
      <c r="S157" s="243" t="str">
        <f t="shared" si="6"/>
        <v>-</v>
      </c>
      <c r="T157" s="139"/>
      <c r="U157" s="139"/>
      <c r="V157" s="139"/>
      <c r="W157" s="139"/>
      <c r="X157" s="139"/>
    </row>
    <row r="158" spans="1:24" s="140" customFormat="1" ht="35.1" customHeight="1">
      <c r="A158" s="63"/>
      <c r="B158" s="163"/>
      <c r="C158" s="163"/>
      <c r="D158" s="163"/>
      <c r="E158" s="64"/>
      <c r="F158" s="65"/>
      <c r="G158" s="65"/>
      <c r="H158" s="65"/>
      <c r="I158" s="65"/>
      <c r="J158" s="65"/>
      <c r="K158" s="65"/>
      <c r="L158" s="65"/>
      <c r="M158" s="44"/>
      <c r="N158" s="44"/>
      <c r="O158" s="44"/>
      <c r="P158" s="17"/>
      <c r="Q158" s="138"/>
      <c r="R158" s="242" t="str">
        <f t="shared" si="5"/>
        <v/>
      </c>
      <c r="S158" s="243" t="str">
        <f t="shared" si="6"/>
        <v>-</v>
      </c>
      <c r="T158" s="139"/>
      <c r="U158" s="139"/>
      <c r="V158" s="139"/>
      <c r="W158" s="139"/>
      <c r="X158" s="139"/>
    </row>
    <row r="159" spans="1:24" s="140" customFormat="1" ht="35.1" customHeight="1">
      <c r="A159" s="63"/>
      <c r="B159" s="163"/>
      <c r="C159" s="163"/>
      <c r="D159" s="163"/>
      <c r="E159" s="64"/>
      <c r="F159" s="65"/>
      <c r="G159" s="65"/>
      <c r="H159" s="65"/>
      <c r="I159" s="65"/>
      <c r="J159" s="65"/>
      <c r="K159" s="65"/>
      <c r="L159" s="65"/>
      <c r="M159" s="44"/>
      <c r="N159" s="44"/>
      <c r="O159" s="44"/>
      <c r="P159" s="17"/>
      <c r="Q159" s="138"/>
      <c r="R159" s="242" t="str">
        <f t="shared" si="5"/>
        <v/>
      </c>
      <c r="S159" s="243" t="str">
        <f t="shared" si="6"/>
        <v>-</v>
      </c>
      <c r="T159" s="139"/>
      <c r="U159" s="139"/>
      <c r="V159" s="139"/>
      <c r="W159" s="139"/>
      <c r="X159" s="139"/>
    </row>
    <row r="160" spans="1:24" s="140" customFormat="1" ht="35.1" customHeight="1">
      <c r="A160" s="63"/>
      <c r="B160" s="163"/>
      <c r="C160" s="163"/>
      <c r="D160" s="163"/>
      <c r="E160" s="64"/>
      <c r="F160" s="65"/>
      <c r="G160" s="65"/>
      <c r="H160" s="65"/>
      <c r="I160" s="65"/>
      <c r="J160" s="65"/>
      <c r="K160" s="65"/>
      <c r="L160" s="65"/>
      <c r="M160" s="44"/>
      <c r="N160" s="44"/>
      <c r="O160" s="44"/>
      <c r="P160" s="17"/>
      <c r="Q160" s="138"/>
      <c r="R160" s="242" t="str">
        <f t="shared" si="5"/>
        <v/>
      </c>
      <c r="S160" s="243" t="str">
        <f t="shared" si="6"/>
        <v>-</v>
      </c>
      <c r="T160" s="139"/>
      <c r="U160" s="139"/>
      <c r="V160" s="139"/>
      <c r="W160" s="139"/>
      <c r="X160" s="139"/>
    </row>
    <row r="161" spans="1:80" s="140" customFormat="1" ht="35.1" customHeight="1">
      <c r="A161" s="63"/>
      <c r="B161" s="163"/>
      <c r="C161" s="163"/>
      <c r="D161" s="163"/>
      <c r="E161" s="64"/>
      <c r="F161" s="65"/>
      <c r="G161" s="65"/>
      <c r="H161" s="65"/>
      <c r="I161" s="65"/>
      <c r="J161" s="65"/>
      <c r="K161" s="65"/>
      <c r="L161" s="65"/>
      <c r="M161" s="44"/>
      <c r="N161" s="44"/>
      <c r="O161" s="44"/>
      <c r="P161" s="17"/>
      <c r="Q161" s="138"/>
      <c r="R161" s="242" t="str">
        <f t="shared" si="5"/>
        <v/>
      </c>
      <c r="S161" s="243" t="str">
        <f t="shared" si="6"/>
        <v>-</v>
      </c>
      <c r="T161" s="139"/>
      <c r="U161" s="139"/>
      <c r="V161" s="139"/>
      <c r="W161" s="139"/>
      <c r="X161" s="139"/>
    </row>
    <row r="162" spans="1:80" s="140" customFormat="1" ht="35.1" customHeight="1">
      <c r="A162" s="63"/>
      <c r="B162" s="163"/>
      <c r="C162" s="163"/>
      <c r="D162" s="163"/>
      <c r="E162" s="64"/>
      <c r="F162" s="65"/>
      <c r="G162" s="65"/>
      <c r="H162" s="65"/>
      <c r="I162" s="65"/>
      <c r="J162" s="65"/>
      <c r="K162" s="65"/>
      <c r="L162" s="65"/>
      <c r="M162" s="44"/>
      <c r="N162" s="44"/>
      <c r="O162" s="44"/>
      <c r="P162" s="17"/>
      <c r="Q162" s="138"/>
      <c r="R162" s="242" t="str">
        <f t="shared" si="5"/>
        <v/>
      </c>
      <c r="S162" s="243" t="str">
        <f t="shared" si="6"/>
        <v>-</v>
      </c>
      <c r="T162" s="139"/>
      <c r="U162" s="139"/>
      <c r="V162" s="139"/>
      <c r="W162" s="139"/>
      <c r="X162" s="139"/>
    </row>
    <row r="163" spans="1:80" s="211" customFormat="1" ht="35.1" customHeight="1">
      <c r="A163" s="212" t="s">
        <v>41</v>
      </c>
      <c r="B163" s="213"/>
      <c r="C163" s="213"/>
      <c r="D163" s="213"/>
      <c r="E163" s="213"/>
      <c r="F163" s="214"/>
      <c r="G163" s="215"/>
      <c r="H163" s="215"/>
      <c r="I163" s="215">
        <f>SUM(I143:I162)</f>
        <v>0</v>
      </c>
      <c r="J163" s="214"/>
      <c r="K163" s="214"/>
      <c r="L163" s="214"/>
      <c r="M163" s="214"/>
      <c r="N163" s="214"/>
      <c r="O163" s="214"/>
      <c r="P163" s="216"/>
      <c r="Q163" s="138"/>
      <c r="R163" s="242" t="str">
        <f t="shared" si="5"/>
        <v/>
      </c>
      <c r="S163" s="243" t="str">
        <f t="shared" si="6"/>
        <v>-</v>
      </c>
      <c r="T163" s="139"/>
      <c r="U163" s="139"/>
      <c r="V163" s="139"/>
      <c r="W163" s="139"/>
      <c r="X163" s="139"/>
      <c r="Y163" s="210"/>
      <c r="Z163" s="210"/>
      <c r="AA163" s="210"/>
      <c r="AB163" s="210"/>
      <c r="AC163" s="210"/>
      <c r="AD163" s="210"/>
      <c r="AE163" s="210"/>
      <c r="AF163" s="210"/>
      <c r="AG163" s="210"/>
      <c r="AH163" s="210"/>
      <c r="AI163" s="210"/>
      <c r="AJ163" s="210"/>
      <c r="AK163" s="210"/>
      <c r="AL163" s="210"/>
      <c r="AM163" s="210"/>
      <c r="AN163" s="210"/>
      <c r="AO163" s="210"/>
      <c r="AP163" s="210"/>
      <c r="AQ163" s="210"/>
      <c r="AR163" s="210"/>
      <c r="AS163" s="210"/>
      <c r="AT163" s="210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210"/>
      <c r="BF163" s="210"/>
      <c r="BG163" s="210"/>
      <c r="BH163" s="210"/>
      <c r="BI163" s="210"/>
      <c r="BJ163" s="210"/>
      <c r="BK163" s="210"/>
      <c r="BL163" s="210"/>
      <c r="BM163" s="210"/>
      <c r="BN163" s="210"/>
      <c r="BO163" s="210"/>
      <c r="BP163" s="210"/>
      <c r="BQ163" s="210"/>
      <c r="BR163" s="210"/>
      <c r="BS163" s="210"/>
      <c r="BT163" s="210"/>
      <c r="BU163" s="210"/>
      <c r="BV163" s="210"/>
      <c r="BW163" s="210"/>
      <c r="BX163" s="210"/>
      <c r="BY163" s="210"/>
      <c r="BZ163" s="210"/>
      <c r="CA163" s="210"/>
      <c r="CB163" s="210"/>
    </row>
    <row r="164" spans="1:80" s="140" customFormat="1" ht="35.1" customHeight="1">
      <c r="A164" s="58"/>
      <c r="B164" s="161"/>
      <c r="C164" s="161"/>
      <c r="D164" s="161"/>
      <c r="E164" s="82"/>
      <c r="F164" s="59"/>
      <c r="G164" s="59"/>
      <c r="H164" s="59"/>
      <c r="I164" s="59"/>
      <c r="J164" s="59"/>
      <c r="K164" s="59"/>
      <c r="L164" s="59"/>
      <c r="M164" s="43"/>
      <c r="N164" s="43"/>
      <c r="O164" s="43"/>
      <c r="P164" s="16"/>
      <c r="Q164" s="138"/>
      <c r="R164" s="242" t="str">
        <f t="shared" si="5"/>
        <v/>
      </c>
      <c r="S164" s="243" t="str">
        <f t="shared" si="6"/>
        <v>-</v>
      </c>
      <c r="T164" s="139"/>
      <c r="U164" s="139"/>
      <c r="V164" s="139"/>
      <c r="W164" s="139"/>
      <c r="X164" s="139"/>
    </row>
    <row r="165" spans="1:80" s="140" customFormat="1" ht="35.1" customHeight="1">
      <c r="A165" s="92"/>
      <c r="B165" s="162"/>
      <c r="C165" s="162"/>
      <c r="D165" s="162"/>
      <c r="E165" s="96"/>
      <c r="F165" s="93"/>
      <c r="G165" s="93"/>
      <c r="H165" s="93"/>
      <c r="I165" s="93"/>
      <c r="J165" s="93"/>
      <c r="K165" s="93"/>
      <c r="L165" s="93"/>
      <c r="M165" s="94"/>
      <c r="N165" s="94"/>
      <c r="O165" s="94"/>
      <c r="P165" s="95"/>
      <c r="Q165" s="138"/>
      <c r="R165" s="242" t="str">
        <f t="shared" si="5"/>
        <v/>
      </c>
      <c r="S165" s="243" t="str">
        <f t="shared" si="6"/>
        <v>-</v>
      </c>
      <c r="T165" s="139"/>
      <c r="U165" s="139"/>
      <c r="V165" s="139"/>
      <c r="W165" s="139"/>
      <c r="X165" s="139"/>
    </row>
    <row r="166" spans="1:80" s="140" customFormat="1" ht="35.1" customHeight="1">
      <c r="A166" s="63"/>
      <c r="B166" s="163"/>
      <c r="C166" s="163"/>
      <c r="D166" s="163"/>
      <c r="E166" s="83"/>
      <c r="F166" s="65"/>
      <c r="G166" s="65"/>
      <c r="H166" s="65"/>
      <c r="I166" s="65"/>
      <c r="J166" s="65"/>
      <c r="K166" s="65"/>
      <c r="L166" s="65"/>
      <c r="M166" s="44">
        <v>0</v>
      </c>
      <c r="N166" s="44">
        <v>0</v>
      </c>
      <c r="O166" s="44">
        <v>0</v>
      </c>
      <c r="P166" s="17"/>
      <c r="Q166" s="138"/>
      <c r="R166" s="242" t="str">
        <f t="shared" si="5"/>
        <v/>
      </c>
      <c r="S166" s="243" t="str">
        <f t="shared" si="6"/>
        <v>-</v>
      </c>
      <c r="T166" s="139"/>
      <c r="U166" s="139"/>
      <c r="V166" s="139"/>
      <c r="W166" s="139"/>
      <c r="X166" s="139"/>
    </row>
    <row r="167" spans="1:80" s="140" customFormat="1" ht="35.1" customHeight="1">
      <c r="A167" s="63"/>
      <c r="B167" s="163"/>
      <c r="C167" s="163"/>
      <c r="D167" s="163"/>
      <c r="E167" s="84"/>
      <c r="F167" s="65"/>
      <c r="G167" s="65"/>
      <c r="H167" s="65"/>
      <c r="I167" s="65"/>
      <c r="J167" s="65"/>
      <c r="K167" s="65"/>
      <c r="L167" s="65"/>
      <c r="M167" s="44">
        <v>0</v>
      </c>
      <c r="N167" s="44">
        <v>0</v>
      </c>
      <c r="O167" s="44">
        <v>0</v>
      </c>
      <c r="P167" s="17"/>
      <c r="Q167" s="138"/>
      <c r="R167" s="242" t="str">
        <f t="shared" si="5"/>
        <v/>
      </c>
      <c r="S167" s="243" t="str">
        <f t="shared" si="6"/>
        <v>-</v>
      </c>
      <c r="T167" s="139"/>
      <c r="U167" s="139"/>
      <c r="V167" s="139"/>
      <c r="W167" s="139"/>
      <c r="X167" s="139"/>
    </row>
    <row r="168" spans="1:80" s="140" customFormat="1" ht="35.1" customHeight="1">
      <c r="A168" s="63"/>
      <c r="B168" s="163"/>
      <c r="C168" s="163"/>
      <c r="D168" s="163"/>
      <c r="E168" s="89"/>
      <c r="F168" s="65"/>
      <c r="G168" s="65"/>
      <c r="H168" s="65"/>
      <c r="I168" s="65"/>
      <c r="J168" s="65"/>
      <c r="K168" s="65"/>
      <c r="L168" s="65"/>
      <c r="M168" s="44">
        <v>0</v>
      </c>
      <c r="N168" s="44">
        <v>0</v>
      </c>
      <c r="O168" s="44">
        <v>0</v>
      </c>
      <c r="P168" s="17"/>
      <c r="Q168" s="138"/>
      <c r="R168" s="242" t="str">
        <f t="shared" si="5"/>
        <v/>
      </c>
      <c r="S168" s="243" t="str">
        <f t="shared" si="6"/>
        <v>-</v>
      </c>
      <c r="T168" s="139"/>
      <c r="U168" s="139"/>
      <c r="V168" s="139"/>
      <c r="W168" s="139"/>
      <c r="X168" s="139"/>
    </row>
    <row r="169" spans="1:80" s="140" customFormat="1" ht="35.1" customHeight="1">
      <c r="A169" s="63"/>
      <c r="B169" s="163"/>
      <c r="C169" s="163"/>
      <c r="D169" s="163"/>
      <c r="E169" s="89"/>
      <c r="F169" s="65"/>
      <c r="G169" s="65"/>
      <c r="H169" s="65"/>
      <c r="I169" s="65"/>
      <c r="J169" s="65"/>
      <c r="K169" s="65"/>
      <c r="L169" s="65"/>
      <c r="M169" s="44">
        <v>0</v>
      </c>
      <c r="N169" s="44">
        <v>0</v>
      </c>
      <c r="O169" s="44">
        <v>0</v>
      </c>
      <c r="P169" s="17"/>
      <c r="Q169" s="138"/>
      <c r="R169" s="242" t="str">
        <f t="shared" si="5"/>
        <v/>
      </c>
      <c r="S169" s="243" t="str">
        <f t="shared" si="6"/>
        <v>-</v>
      </c>
      <c r="T169" s="139"/>
      <c r="U169" s="139"/>
      <c r="V169" s="139"/>
      <c r="W169" s="139"/>
      <c r="X169" s="139"/>
    </row>
    <row r="170" spans="1:80" s="140" customFormat="1" ht="35.1" customHeight="1">
      <c r="A170" s="63"/>
      <c r="B170" s="163"/>
      <c r="C170" s="163"/>
      <c r="D170" s="163"/>
      <c r="E170" s="89"/>
      <c r="F170" s="65"/>
      <c r="G170" s="65"/>
      <c r="H170" s="65"/>
      <c r="I170" s="65"/>
      <c r="J170" s="65"/>
      <c r="K170" s="65"/>
      <c r="L170" s="65"/>
      <c r="M170" s="44"/>
      <c r="N170" s="44"/>
      <c r="O170" s="44"/>
      <c r="P170" s="17"/>
      <c r="Q170" s="138"/>
      <c r="R170" s="242" t="str">
        <f t="shared" si="5"/>
        <v/>
      </c>
      <c r="S170" s="243" t="str">
        <f t="shared" si="6"/>
        <v>-</v>
      </c>
      <c r="T170" s="139"/>
      <c r="U170" s="139"/>
      <c r="V170" s="139"/>
      <c r="W170" s="139"/>
      <c r="X170" s="139"/>
    </row>
    <row r="171" spans="1:80" s="140" customFormat="1" ht="35.1" customHeight="1">
      <c r="A171" s="63"/>
      <c r="B171" s="163"/>
      <c r="C171" s="163"/>
      <c r="D171" s="163"/>
      <c r="E171" s="89"/>
      <c r="F171" s="65"/>
      <c r="G171" s="65"/>
      <c r="H171" s="65"/>
      <c r="I171" s="65"/>
      <c r="J171" s="65"/>
      <c r="K171" s="65"/>
      <c r="L171" s="65"/>
      <c r="M171" s="44"/>
      <c r="N171" s="44"/>
      <c r="O171" s="44"/>
      <c r="P171" s="17"/>
      <c r="Q171" s="138"/>
      <c r="R171" s="242" t="str">
        <f t="shared" si="5"/>
        <v/>
      </c>
      <c r="S171" s="243" t="str">
        <f t="shared" si="6"/>
        <v>-</v>
      </c>
      <c r="T171" s="139"/>
      <c r="U171" s="139"/>
      <c r="V171" s="139"/>
      <c r="W171" s="139"/>
      <c r="X171" s="139"/>
    </row>
    <row r="172" spans="1:80" s="140" customFormat="1" ht="35.1" customHeight="1">
      <c r="A172" s="63"/>
      <c r="B172" s="163"/>
      <c r="C172" s="163"/>
      <c r="D172" s="163"/>
      <c r="E172" s="89"/>
      <c r="F172" s="65"/>
      <c r="G172" s="65"/>
      <c r="H172" s="65"/>
      <c r="I172" s="65"/>
      <c r="J172" s="65"/>
      <c r="K172" s="65"/>
      <c r="L172" s="65"/>
      <c r="M172" s="44"/>
      <c r="N172" s="44"/>
      <c r="O172" s="44"/>
      <c r="P172" s="17"/>
      <c r="Q172" s="138"/>
      <c r="R172" s="242" t="str">
        <f t="shared" si="5"/>
        <v/>
      </c>
      <c r="S172" s="243" t="str">
        <f t="shared" si="6"/>
        <v>-</v>
      </c>
      <c r="T172" s="139"/>
      <c r="U172" s="139"/>
      <c r="V172" s="139"/>
      <c r="W172" s="139"/>
      <c r="X172" s="139"/>
    </row>
    <row r="173" spans="1:80" s="140" customFormat="1" ht="35.1" customHeight="1">
      <c r="A173" s="63"/>
      <c r="B173" s="163"/>
      <c r="C173" s="163"/>
      <c r="D173" s="163"/>
      <c r="E173" s="89"/>
      <c r="F173" s="65"/>
      <c r="G173" s="65"/>
      <c r="H173" s="65"/>
      <c r="I173" s="65"/>
      <c r="J173" s="65"/>
      <c r="K173" s="65"/>
      <c r="L173" s="65"/>
      <c r="M173" s="44">
        <v>0</v>
      </c>
      <c r="N173" s="44">
        <v>0</v>
      </c>
      <c r="O173" s="44">
        <v>0</v>
      </c>
      <c r="P173" s="17"/>
      <c r="Q173" s="138"/>
      <c r="R173" s="242" t="str">
        <f t="shared" si="5"/>
        <v/>
      </c>
      <c r="S173" s="243" t="str">
        <f t="shared" si="6"/>
        <v>-</v>
      </c>
      <c r="T173" s="139"/>
      <c r="U173" s="139"/>
      <c r="V173" s="139"/>
      <c r="W173" s="139"/>
      <c r="X173" s="139"/>
    </row>
    <row r="174" spans="1:80" s="140" customFormat="1" ht="35.1" customHeight="1">
      <c r="A174" s="63"/>
      <c r="B174" s="163"/>
      <c r="C174" s="163"/>
      <c r="D174" s="163"/>
      <c r="E174" s="89"/>
      <c r="F174" s="65"/>
      <c r="G174" s="65"/>
      <c r="H174" s="65"/>
      <c r="I174" s="65"/>
      <c r="J174" s="65"/>
      <c r="K174" s="65"/>
      <c r="L174" s="65"/>
      <c r="M174" s="44">
        <v>0</v>
      </c>
      <c r="N174" s="44">
        <v>0</v>
      </c>
      <c r="O174" s="44">
        <v>0</v>
      </c>
      <c r="P174" s="17"/>
      <c r="Q174" s="138"/>
      <c r="R174" s="242" t="str">
        <f t="shared" si="5"/>
        <v/>
      </c>
      <c r="S174" s="243" t="str">
        <f t="shared" si="6"/>
        <v>-</v>
      </c>
      <c r="T174" s="139"/>
      <c r="U174" s="139"/>
      <c r="V174" s="139"/>
      <c r="W174" s="139"/>
      <c r="X174" s="139"/>
    </row>
    <row r="175" spans="1:80" s="140" customFormat="1" ht="35.1" customHeight="1">
      <c r="A175" s="63"/>
      <c r="B175" s="163"/>
      <c r="C175" s="163"/>
      <c r="D175" s="163"/>
      <c r="E175" s="64"/>
      <c r="F175" s="65"/>
      <c r="G175" s="65"/>
      <c r="H175" s="65"/>
      <c r="I175" s="65"/>
      <c r="J175" s="65"/>
      <c r="K175" s="65"/>
      <c r="L175" s="65"/>
      <c r="M175" s="44"/>
      <c r="N175" s="44"/>
      <c r="O175" s="44"/>
      <c r="P175" s="17"/>
      <c r="Q175" s="138"/>
      <c r="R175" s="242" t="str">
        <f t="shared" si="5"/>
        <v/>
      </c>
      <c r="S175" s="243" t="str">
        <f t="shared" si="6"/>
        <v>-</v>
      </c>
      <c r="T175" s="139"/>
      <c r="U175" s="139"/>
      <c r="V175" s="139"/>
      <c r="W175" s="139"/>
      <c r="X175" s="139"/>
    </row>
    <row r="176" spans="1:80" s="140" customFormat="1" ht="35.1" customHeight="1">
      <c r="A176" s="63"/>
      <c r="B176" s="163"/>
      <c r="C176" s="163"/>
      <c r="D176" s="163"/>
      <c r="E176" s="64"/>
      <c r="F176" s="65"/>
      <c r="G176" s="65"/>
      <c r="H176" s="65"/>
      <c r="I176" s="65"/>
      <c r="J176" s="65"/>
      <c r="K176" s="65"/>
      <c r="L176" s="65"/>
      <c r="M176" s="44"/>
      <c r="N176" s="44"/>
      <c r="O176" s="44"/>
      <c r="P176" s="17"/>
      <c r="Q176" s="138"/>
      <c r="R176" s="242" t="str">
        <f t="shared" si="5"/>
        <v/>
      </c>
      <c r="S176" s="243" t="str">
        <f t="shared" si="6"/>
        <v>-</v>
      </c>
      <c r="T176" s="139"/>
      <c r="U176" s="139"/>
      <c r="V176" s="139"/>
      <c r="W176" s="139"/>
      <c r="X176" s="139"/>
    </row>
    <row r="177" spans="1:80" s="140" customFormat="1" ht="35.1" customHeight="1">
      <c r="A177" s="63"/>
      <c r="B177" s="163"/>
      <c r="C177" s="163"/>
      <c r="D177" s="163"/>
      <c r="E177" s="64"/>
      <c r="F177" s="65"/>
      <c r="G177" s="65"/>
      <c r="H177" s="65"/>
      <c r="I177" s="65"/>
      <c r="J177" s="65"/>
      <c r="K177" s="65"/>
      <c r="L177" s="65"/>
      <c r="M177" s="44"/>
      <c r="N177" s="44"/>
      <c r="O177" s="44"/>
      <c r="P177" s="17"/>
      <c r="Q177" s="138"/>
      <c r="R177" s="242" t="str">
        <f t="shared" si="5"/>
        <v/>
      </c>
      <c r="S177" s="243" t="str">
        <f t="shared" si="6"/>
        <v>-</v>
      </c>
      <c r="T177" s="139"/>
      <c r="U177" s="139"/>
      <c r="V177" s="139"/>
      <c r="W177" s="139"/>
      <c r="X177" s="139"/>
    </row>
    <row r="178" spans="1:80" s="140" customFormat="1" ht="35.1" customHeight="1">
      <c r="A178" s="63"/>
      <c r="B178" s="163"/>
      <c r="C178" s="163"/>
      <c r="D178" s="163"/>
      <c r="E178" s="64"/>
      <c r="F178" s="65"/>
      <c r="G178" s="65"/>
      <c r="H178" s="65"/>
      <c r="I178" s="65"/>
      <c r="J178" s="65"/>
      <c r="K178" s="65"/>
      <c r="L178" s="65"/>
      <c r="M178" s="44"/>
      <c r="N178" s="44"/>
      <c r="O178" s="44"/>
      <c r="P178" s="17"/>
      <c r="Q178" s="138"/>
      <c r="R178" s="242" t="str">
        <f t="shared" si="5"/>
        <v/>
      </c>
      <c r="S178" s="243" t="str">
        <f t="shared" si="6"/>
        <v>-</v>
      </c>
      <c r="T178" s="139"/>
      <c r="U178" s="139"/>
      <c r="V178" s="139"/>
      <c r="W178" s="139"/>
      <c r="X178" s="139"/>
    </row>
    <row r="179" spans="1:80" s="140" customFormat="1" ht="35.1" customHeight="1">
      <c r="A179" s="63"/>
      <c r="B179" s="163"/>
      <c r="C179" s="163"/>
      <c r="D179" s="163"/>
      <c r="E179" s="64"/>
      <c r="F179" s="65"/>
      <c r="G179" s="65"/>
      <c r="H179" s="65"/>
      <c r="I179" s="65"/>
      <c r="J179" s="65"/>
      <c r="K179" s="65"/>
      <c r="L179" s="65"/>
      <c r="M179" s="44"/>
      <c r="N179" s="44"/>
      <c r="O179" s="44"/>
      <c r="P179" s="17"/>
      <c r="Q179" s="138"/>
      <c r="R179" s="242" t="str">
        <f t="shared" si="5"/>
        <v/>
      </c>
      <c r="S179" s="243" t="str">
        <f t="shared" si="6"/>
        <v>-</v>
      </c>
      <c r="T179" s="139"/>
      <c r="U179" s="139"/>
      <c r="V179" s="139"/>
      <c r="W179" s="139"/>
      <c r="X179" s="139"/>
    </row>
    <row r="180" spans="1:80" s="140" customFormat="1" ht="35.1" customHeight="1">
      <c r="A180" s="63"/>
      <c r="B180" s="163"/>
      <c r="C180" s="163"/>
      <c r="D180" s="163"/>
      <c r="E180" s="64"/>
      <c r="F180" s="65"/>
      <c r="G180" s="65"/>
      <c r="H180" s="65"/>
      <c r="I180" s="65"/>
      <c r="J180" s="65"/>
      <c r="K180" s="65"/>
      <c r="L180" s="65"/>
      <c r="M180" s="44"/>
      <c r="N180" s="44"/>
      <c r="O180" s="44"/>
      <c r="P180" s="17"/>
      <c r="Q180" s="138"/>
      <c r="R180" s="242" t="str">
        <f t="shared" si="5"/>
        <v/>
      </c>
      <c r="S180" s="243" t="str">
        <f t="shared" si="6"/>
        <v>-</v>
      </c>
      <c r="T180" s="139"/>
      <c r="U180" s="139"/>
      <c r="V180" s="139"/>
      <c r="W180" s="139"/>
      <c r="X180" s="139"/>
    </row>
    <row r="181" spans="1:80" s="140" customFormat="1" ht="35.1" customHeight="1">
      <c r="A181" s="63"/>
      <c r="B181" s="163"/>
      <c r="C181" s="163"/>
      <c r="D181" s="163"/>
      <c r="E181" s="64"/>
      <c r="F181" s="65"/>
      <c r="G181" s="65"/>
      <c r="H181" s="65"/>
      <c r="I181" s="65"/>
      <c r="J181" s="65"/>
      <c r="K181" s="65"/>
      <c r="L181" s="65"/>
      <c r="M181" s="44"/>
      <c r="N181" s="44"/>
      <c r="O181" s="44"/>
      <c r="P181" s="17"/>
      <c r="Q181" s="138"/>
      <c r="R181" s="242" t="str">
        <f t="shared" si="5"/>
        <v/>
      </c>
      <c r="S181" s="243" t="str">
        <f t="shared" si="6"/>
        <v>-</v>
      </c>
      <c r="T181" s="139"/>
      <c r="U181" s="139"/>
      <c r="V181" s="139"/>
      <c r="W181" s="139"/>
      <c r="X181" s="139"/>
    </row>
    <row r="182" spans="1:80" s="140" customFormat="1" ht="35.1" customHeight="1">
      <c r="A182" s="63"/>
      <c r="B182" s="163"/>
      <c r="C182" s="163"/>
      <c r="D182" s="163"/>
      <c r="E182" s="64"/>
      <c r="F182" s="65"/>
      <c r="G182" s="65"/>
      <c r="H182" s="65"/>
      <c r="I182" s="65"/>
      <c r="J182" s="65"/>
      <c r="K182" s="65"/>
      <c r="L182" s="65"/>
      <c r="M182" s="44"/>
      <c r="N182" s="44"/>
      <c r="O182" s="44"/>
      <c r="P182" s="17"/>
      <c r="Q182" s="138"/>
      <c r="R182" s="242" t="str">
        <f t="shared" si="5"/>
        <v/>
      </c>
      <c r="S182" s="243" t="str">
        <f t="shared" si="6"/>
        <v>-</v>
      </c>
      <c r="T182" s="139"/>
      <c r="U182" s="139"/>
      <c r="V182" s="139"/>
      <c r="W182" s="139"/>
      <c r="X182" s="139"/>
    </row>
    <row r="183" spans="1:80" s="140" customFormat="1" ht="35.1" customHeight="1">
      <c r="A183" s="63"/>
      <c r="B183" s="163"/>
      <c r="C183" s="163"/>
      <c r="D183" s="163"/>
      <c r="E183" s="64"/>
      <c r="F183" s="65"/>
      <c r="G183" s="65"/>
      <c r="H183" s="65"/>
      <c r="I183" s="65"/>
      <c r="J183" s="65"/>
      <c r="K183" s="65"/>
      <c r="L183" s="65"/>
      <c r="M183" s="44"/>
      <c r="N183" s="44"/>
      <c r="O183" s="44"/>
      <c r="P183" s="17"/>
      <c r="Q183" s="138"/>
      <c r="R183" s="242" t="str">
        <f t="shared" si="5"/>
        <v/>
      </c>
      <c r="S183" s="243" t="str">
        <f t="shared" si="6"/>
        <v>-</v>
      </c>
      <c r="T183" s="139"/>
      <c r="U183" s="139"/>
      <c r="V183" s="139"/>
      <c r="W183" s="139"/>
      <c r="X183" s="139"/>
    </row>
    <row r="184" spans="1:80" s="211" customFormat="1" ht="35.1" customHeight="1">
      <c r="A184" s="212" t="s">
        <v>41</v>
      </c>
      <c r="B184" s="213"/>
      <c r="C184" s="213"/>
      <c r="D184" s="213"/>
      <c r="E184" s="213"/>
      <c r="F184" s="214"/>
      <c r="G184" s="215"/>
      <c r="H184" s="215"/>
      <c r="I184" s="215">
        <f>SUM(I164:I183)</f>
        <v>0</v>
      </c>
      <c r="J184" s="214"/>
      <c r="K184" s="214"/>
      <c r="L184" s="214"/>
      <c r="M184" s="214"/>
      <c r="N184" s="214"/>
      <c r="O184" s="214"/>
      <c r="P184" s="216"/>
      <c r="Q184" s="138"/>
      <c r="R184" s="242" t="str">
        <f t="shared" si="5"/>
        <v/>
      </c>
      <c r="S184" s="243" t="str">
        <f t="shared" si="6"/>
        <v>-</v>
      </c>
      <c r="T184" s="139"/>
      <c r="U184" s="139"/>
      <c r="V184" s="139"/>
      <c r="W184" s="139"/>
      <c r="X184" s="139"/>
      <c r="Y184" s="210"/>
      <c r="Z184" s="210"/>
      <c r="AA184" s="210"/>
      <c r="AB184" s="210"/>
      <c r="AC184" s="210"/>
      <c r="AD184" s="210"/>
      <c r="AE184" s="210"/>
      <c r="AF184" s="210"/>
      <c r="AG184" s="210"/>
      <c r="AH184" s="210"/>
      <c r="AI184" s="210"/>
      <c r="AJ184" s="210"/>
      <c r="AK184" s="210"/>
      <c r="AL184" s="210"/>
      <c r="AM184" s="210"/>
      <c r="AN184" s="210"/>
      <c r="AO184" s="210"/>
      <c r="AP184" s="210"/>
      <c r="AQ184" s="210"/>
      <c r="AR184" s="210"/>
      <c r="AS184" s="210"/>
      <c r="AT184" s="210"/>
      <c r="AU184" s="210"/>
      <c r="AV184" s="210"/>
      <c r="AW184" s="210"/>
      <c r="AX184" s="210"/>
      <c r="AY184" s="210"/>
      <c r="AZ184" s="210"/>
      <c r="BA184" s="210"/>
      <c r="BB184" s="210"/>
      <c r="BC184" s="210"/>
      <c r="BD184" s="210"/>
      <c r="BE184" s="210"/>
      <c r="BF184" s="210"/>
      <c r="BG184" s="210"/>
      <c r="BH184" s="210"/>
      <c r="BI184" s="210"/>
      <c r="BJ184" s="210"/>
      <c r="BK184" s="210"/>
      <c r="BL184" s="210"/>
      <c r="BM184" s="210"/>
      <c r="BN184" s="210"/>
      <c r="BO184" s="210"/>
      <c r="BP184" s="210"/>
      <c r="BQ184" s="210"/>
      <c r="BR184" s="210"/>
      <c r="BS184" s="210"/>
      <c r="BT184" s="210"/>
      <c r="BU184" s="210"/>
      <c r="BV184" s="210"/>
      <c r="BW184" s="210"/>
      <c r="BX184" s="210"/>
      <c r="BY184" s="210"/>
      <c r="BZ184" s="210"/>
      <c r="CA184" s="210"/>
      <c r="CB184" s="210"/>
    </row>
    <row r="185" spans="1:80" s="140" customFormat="1" ht="35.1" customHeight="1">
      <c r="A185" s="58"/>
      <c r="B185" s="161"/>
      <c r="C185" s="161"/>
      <c r="D185" s="161"/>
      <c r="E185" s="82"/>
      <c r="F185" s="59"/>
      <c r="G185" s="59"/>
      <c r="H185" s="59"/>
      <c r="I185" s="59"/>
      <c r="J185" s="59"/>
      <c r="K185" s="59"/>
      <c r="L185" s="59"/>
      <c r="M185" s="43"/>
      <c r="N185" s="43"/>
      <c r="O185" s="43"/>
      <c r="P185" s="16"/>
      <c r="Q185" s="138"/>
      <c r="R185" s="242" t="str">
        <f t="shared" si="5"/>
        <v/>
      </c>
      <c r="S185" s="243" t="str">
        <f t="shared" si="6"/>
        <v>-</v>
      </c>
      <c r="T185" s="139"/>
      <c r="U185" s="139"/>
      <c r="V185" s="139"/>
      <c r="W185" s="139"/>
      <c r="X185" s="139"/>
    </row>
    <row r="186" spans="1:80" s="140" customFormat="1" ht="35.1" customHeight="1">
      <c r="A186" s="92"/>
      <c r="B186" s="162"/>
      <c r="C186" s="162"/>
      <c r="D186" s="162"/>
      <c r="E186" s="96"/>
      <c r="F186" s="93"/>
      <c r="G186" s="93"/>
      <c r="H186" s="93"/>
      <c r="I186" s="93"/>
      <c r="J186" s="93"/>
      <c r="K186" s="93"/>
      <c r="L186" s="93"/>
      <c r="M186" s="94"/>
      <c r="N186" s="94"/>
      <c r="O186" s="94"/>
      <c r="P186" s="95"/>
      <c r="Q186" s="138"/>
      <c r="R186" s="242" t="str">
        <f t="shared" si="5"/>
        <v/>
      </c>
      <c r="S186" s="243" t="str">
        <f t="shared" si="6"/>
        <v>-</v>
      </c>
      <c r="T186" s="139"/>
      <c r="U186" s="139"/>
      <c r="V186" s="139"/>
      <c r="W186" s="139"/>
      <c r="X186" s="139"/>
    </row>
    <row r="187" spans="1:80" s="140" customFormat="1" ht="35.1" customHeight="1">
      <c r="A187" s="63"/>
      <c r="B187" s="163"/>
      <c r="C187" s="163"/>
      <c r="D187" s="163"/>
      <c r="E187" s="83"/>
      <c r="F187" s="65"/>
      <c r="G187" s="65"/>
      <c r="H187" s="65"/>
      <c r="I187" s="65"/>
      <c r="J187" s="65"/>
      <c r="K187" s="65"/>
      <c r="L187" s="65"/>
      <c r="M187" s="44"/>
      <c r="N187" s="44">
        <v>0</v>
      </c>
      <c r="O187" s="44">
        <v>0</v>
      </c>
      <c r="P187" s="17"/>
      <c r="Q187" s="138"/>
      <c r="R187" s="242" t="str">
        <f t="shared" si="5"/>
        <v/>
      </c>
      <c r="S187" s="243" t="str">
        <f t="shared" si="6"/>
        <v>-</v>
      </c>
      <c r="T187" s="139"/>
      <c r="U187" s="139"/>
      <c r="V187" s="139"/>
      <c r="W187" s="139"/>
      <c r="X187" s="139"/>
    </row>
    <row r="188" spans="1:80" s="140" customFormat="1" ht="35.1" customHeight="1">
      <c r="A188" s="63"/>
      <c r="B188" s="163"/>
      <c r="C188" s="163"/>
      <c r="D188" s="163"/>
      <c r="E188" s="84"/>
      <c r="F188" s="65"/>
      <c r="G188" s="65"/>
      <c r="H188" s="65"/>
      <c r="I188" s="65"/>
      <c r="J188" s="65"/>
      <c r="K188" s="65"/>
      <c r="L188" s="65"/>
      <c r="M188" s="44"/>
      <c r="N188" s="44">
        <v>0</v>
      </c>
      <c r="O188" s="44">
        <v>0</v>
      </c>
      <c r="P188" s="17"/>
      <c r="Q188" s="138"/>
      <c r="R188" s="242" t="str">
        <f t="shared" si="5"/>
        <v/>
      </c>
      <c r="S188" s="243" t="str">
        <f t="shared" si="6"/>
        <v>-</v>
      </c>
      <c r="T188" s="139"/>
      <c r="U188" s="139"/>
      <c r="V188" s="139"/>
      <c r="W188" s="139"/>
      <c r="X188" s="139"/>
    </row>
    <row r="189" spans="1:80" s="140" customFormat="1" ht="35.1" customHeight="1">
      <c r="A189" s="63"/>
      <c r="B189" s="163"/>
      <c r="C189" s="163"/>
      <c r="D189" s="163"/>
      <c r="E189" s="89"/>
      <c r="F189" s="65"/>
      <c r="G189" s="65"/>
      <c r="H189" s="65"/>
      <c r="I189" s="65"/>
      <c r="J189" s="65"/>
      <c r="K189" s="65"/>
      <c r="L189" s="65"/>
      <c r="M189" s="44"/>
      <c r="N189" s="44">
        <v>0</v>
      </c>
      <c r="O189" s="44">
        <v>0</v>
      </c>
      <c r="P189" s="17"/>
      <c r="Q189" s="138"/>
      <c r="R189" s="242" t="str">
        <f t="shared" si="5"/>
        <v/>
      </c>
      <c r="S189" s="243" t="str">
        <f t="shared" si="6"/>
        <v>-</v>
      </c>
      <c r="T189" s="139"/>
      <c r="U189" s="139"/>
      <c r="V189" s="139"/>
      <c r="W189" s="139"/>
      <c r="X189" s="139"/>
    </row>
    <row r="190" spans="1:80" s="140" customFormat="1" ht="35.1" customHeight="1">
      <c r="A190" s="63"/>
      <c r="B190" s="163"/>
      <c r="C190" s="163"/>
      <c r="D190" s="163"/>
      <c r="E190" s="89"/>
      <c r="F190" s="65"/>
      <c r="G190" s="65"/>
      <c r="H190" s="65"/>
      <c r="I190" s="65"/>
      <c r="J190" s="65"/>
      <c r="K190" s="65"/>
      <c r="L190" s="65"/>
      <c r="M190" s="44"/>
      <c r="N190" s="44">
        <v>0</v>
      </c>
      <c r="O190" s="44">
        <v>0</v>
      </c>
      <c r="P190" s="17"/>
      <c r="Q190" s="138"/>
      <c r="R190" s="242" t="str">
        <f t="shared" si="5"/>
        <v/>
      </c>
      <c r="S190" s="243" t="str">
        <f t="shared" si="6"/>
        <v>-</v>
      </c>
      <c r="T190" s="139"/>
      <c r="U190" s="139"/>
      <c r="V190" s="139"/>
      <c r="W190" s="139"/>
      <c r="X190" s="139"/>
    </row>
    <row r="191" spans="1:80" s="140" customFormat="1" ht="35.1" customHeight="1">
      <c r="A191" s="63"/>
      <c r="B191" s="163"/>
      <c r="C191" s="163"/>
      <c r="D191" s="163"/>
      <c r="E191" s="89"/>
      <c r="F191" s="65"/>
      <c r="G191" s="65"/>
      <c r="H191" s="65"/>
      <c r="I191" s="65"/>
      <c r="J191" s="65"/>
      <c r="K191" s="65"/>
      <c r="L191" s="65"/>
      <c r="M191" s="44"/>
      <c r="N191" s="44">
        <v>0</v>
      </c>
      <c r="O191" s="44">
        <v>0</v>
      </c>
      <c r="P191" s="17"/>
      <c r="Q191" s="138"/>
      <c r="R191" s="242" t="str">
        <f t="shared" si="5"/>
        <v/>
      </c>
      <c r="S191" s="243" t="str">
        <f t="shared" si="6"/>
        <v>-</v>
      </c>
      <c r="T191" s="139"/>
      <c r="U191" s="139"/>
      <c r="V191" s="139"/>
      <c r="W191" s="139"/>
      <c r="X191" s="139"/>
    </row>
    <row r="192" spans="1:80" s="140" customFormat="1" ht="35.1" customHeight="1">
      <c r="A192" s="63"/>
      <c r="B192" s="163"/>
      <c r="C192" s="163"/>
      <c r="D192" s="163"/>
      <c r="E192" s="89"/>
      <c r="F192" s="65"/>
      <c r="G192" s="65"/>
      <c r="H192" s="65"/>
      <c r="I192" s="65"/>
      <c r="J192" s="65"/>
      <c r="K192" s="65"/>
      <c r="L192" s="65"/>
      <c r="M192" s="44"/>
      <c r="N192" s="44"/>
      <c r="O192" s="44"/>
      <c r="P192" s="17"/>
      <c r="Q192" s="138"/>
      <c r="R192" s="242" t="str">
        <f t="shared" si="5"/>
        <v/>
      </c>
      <c r="S192" s="243" t="str">
        <f t="shared" si="6"/>
        <v>-</v>
      </c>
      <c r="T192" s="139"/>
      <c r="U192" s="139"/>
      <c r="V192" s="139"/>
      <c r="W192" s="139"/>
      <c r="X192" s="139"/>
    </row>
    <row r="193" spans="1:80" s="140" customFormat="1" ht="35.1" customHeight="1">
      <c r="A193" s="63"/>
      <c r="B193" s="163"/>
      <c r="C193" s="163"/>
      <c r="D193" s="163"/>
      <c r="E193" s="89"/>
      <c r="F193" s="65"/>
      <c r="G193" s="65"/>
      <c r="H193" s="65"/>
      <c r="I193" s="65"/>
      <c r="J193" s="65"/>
      <c r="K193" s="65"/>
      <c r="L193" s="65"/>
      <c r="M193" s="44"/>
      <c r="N193" s="44">
        <v>0</v>
      </c>
      <c r="O193" s="44">
        <v>0</v>
      </c>
      <c r="P193" s="17"/>
      <c r="Q193" s="138"/>
      <c r="R193" s="242" t="str">
        <f t="shared" si="5"/>
        <v/>
      </c>
      <c r="S193" s="243" t="str">
        <f t="shared" si="6"/>
        <v>-</v>
      </c>
      <c r="T193" s="139"/>
      <c r="U193" s="139"/>
      <c r="V193" s="139"/>
      <c r="W193" s="139"/>
      <c r="X193" s="139"/>
    </row>
    <row r="194" spans="1:80" s="140" customFormat="1" ht="35.1" customHeight="1">
      <c r="A194" s="63"/>
      <c r="B194" s="163"/>
      <c r="C194" s="163"/>
      <c r="D194" s="163"/>
      <c r="E194" s="89"/>
      <c r="F194" s="65"/>
      <c r="G194" s="65"/>
      <c r="H194" s="65"/>
      <c r="I194" s="65"/>
      <c r="J194" s="65"/>
      <c r="K194" s="65"/>
      <c r="L194" s="65"/>
      <c r="M194" s="44"/>
      <c r="N194" s="44">
        <v>0</v>
      </c>
      <c r="O194" s="44">
        <v>0</v>
      </c>
      <c r="P194" s="17"/>
      <c r="Q194" s="138"/>
      <c r="R194" s="242" t="str">
        <f t="shared" si="5"/>
        <v/>
      </c>
      <c r="S194" s="243" t="str">
        <f t="shared" si="6"/>
        <v>-</v>
      </c>
      <c r="T194" s="139"/>
      <c r="U194" s="139"/>
      <c r="V194" s="139"/>
      <c r="W194" s="139"/>
      <c r="X194" s="139"/>
    </row>
    <row r="195" spans="1:80" s="140" customFormat="1" ht="35.1" customHeight="1">
      <c r="A195" s="63"/>
      <c r="B195" s="163"/>
      <c r="C195" s="163"/>
      <c r="D195" s="163"/>
      <c r="E195" s="89"/>
      <c r="F195" s="65"/>
      <c r="G195" s="65"/>
      <c r="H195" s="65"/>
      <c r="I195" s="65"/>
      <c r="J195" s="65"/>
      <c r="K195" s="65"/>
      <c r="L195" s="65"/>
      <c r="M195" s="44"/>
      <c r="N195" s="44">
        <v>0</v>
      </c>
      <c r="O195" s="44">
        <v>0</v>
      </c>
      <c r="P195" s="17"/>
      <c r="Q195" s="138"/>
      <c r="R195" s="242" t="str">
        <f t="shared" si="5"/>
        <v/>
      </c>
      <c r="S195" s="243" t="str">
        <f t="shared" si="6"/>
        <v>-</v>
      </c>
      <c r="T195" s="139"/>
      <c r="U195" s="139"/>
      <c r="V195" s="139"/>
      <c r="W195" s="139"/>
      <c r="X195" s="139"/>
    </row>
    <row r="196" spans="1:80" s="140" customFormat="1" ht="35.1" customHeight="1">
      <c r="A196" s="63"/>
      <c r="B196" s="163"/>
      <c r="C196" s="163"/>
      <c r="D196" s="163"/>
      <c r="E196" s="64"/>
      <c r="F196" s="65"/>
      <c r="G196" s="65"/>
      <c r="H196" s="65"/>
      <c r="I196" s="65"/>
      <c r="J196" s="65"/>
      <c r="K196" s="65"/>
      <c r="L196" s="65"/>
      <c r="M196" s="44"/>
      <c r="N196" s="44"/>
      <c r="O196" s="44"/>
      <c r="P196" s="17"/>
      <c r="Q196" s="138"/>
      <c r="R196" s="242" t="str">
        <f t="shared" si="5"/>
        <v/>
      </c>
      <c r="S196" s="243" t="str">
        <f t="shared" si="6"/>
        <v>-</v>
      </c>
      <c r="T196" s="139"/>
      <c r="U196" s="139"/>
      <c r="V196" s="139"/>
      <c r="W196" s="139"/>
      <c r="X196" s="139"/>
    </row>
    <row r="197" spans="1:80" s="140" customFormat="1" ht="35.1" customHeight="1">
      <c r="A197" s="63"/>
      <c r="B197" s="163"/>
      <c r="C197" s="163"/>
      <c r="D197" s="163"/>
      <c r="E197" s="64"/>
      <c r="F197" s="65"/>
      <c r="G197" s="65"/>
      <c r="H197" s="65"/>
      <c r="I197" s="65"/>
      <c r="J197" s="65"/>
      <c r="K197" s="65"/>
      <c r="L197" s="65"/>
      <c r="M197" s="44"/>
      <c r="N197" s="44"/>
      <c r="O197" s="44"/>
      <c r="P197" s="17"/>
      <c r="Q197" s="138"/>
      <c r="R197" s="242" t="str">
        <f t="shared" si="5"/>
        <v/>
      </c>
      <c r="S197" s="243" t="str">
        <f t="shared" si="6"/>
        <v>-</v>
      </c>
      <c r="T197" s="139"/>
      <c r="U197" s="139"/>
      <c r="V197" s="139"/>
      <c r="W197" s="139"/>
      <c r="X197" s="139"/>
    </row>
    <row r="198" spans="1:80" s="140" customFormat="1" ht="35.1" customHeight="1">
      <c r="A198" s="63"/>
      <c r="B198" s="163"/>
      <c r="C198" s="163"/>
      <c r="D198" s="163"/>
      <c r="E198" s="64"/>
      <c r="F198" s="65"/>
      <c r="G198" s="65"/>
      <c r="H198" s="65"/>
      <c r="I198" s="65"/>
      <c r="J198" s="65"/>
      <c r="K198" s="65"/>
      <c r="L198" s="65"/>
      <c r="M198" s="44"/>
      <c r="N198" s="44"/>
      <c r="O198" s="44"/>
      <c r="P198" s="17"/>
      <c r="Q198" s="138"/>
      <c r="R198" s="242" t="str">
        <f t="shared" si="5"/>
        <v/>
      </c>
      <c r="S198" s="243" t="str">
        <f t="shared" si="6"/>
        <v>-</v>
      </c>
      <c r="T198" s="139"/>
      <c r="U198" s="139"/>
      <c r="V198" s="139"/>
      <c r="W198" s="139"/>
      <c r="X198" s="139"/>
    </row>
    <row r="199" spans="1:80" s="140" customFormat="1" ht="35.1" customHeight="1">
      <c r="A199" s="63"/>
      <c r="B199" s="163"/>
      <c r="C199" s="163"/>
      <c r="D199" s="163"/>
      <c r="E199" s="64"/>
      <c r="F199" s="65"/>
      <c r="G199" s="65"/>
      <c r="H199" s="65"/>
      <c r="I199" s="65"/>
      <c r="J199" s="65"/>
      <c r="K199" s="65"/>
      <c r="L199" s="65"/>
      <c r="M199" s="44"/>
      <c r="N199" s="44"/>
      <c r="O199" s="44"/>
      <c r="P199" s="17"/>
      <c r="Q199" s="138"/>
      <c r="R199" s="242" t="str">
        <f t="shared" ref="R199:R262" si="7">CONCATENATE(F199,J199)</f>
        <v/>
      </c>
      <c r="S199" s="243" t="str">
        <f t="shared" ref="S199:S262" si="8">IF(G199&gt;=I199,"-","err")</f>
        <v>-</v>
      </c>
      <c r="T199" s="139"/>
      <c r="U199" s="139"/>
      <c r="V199" s="139"/>
      <c r="W199" s="139"/>
      <c r="X199" s="139"/>
    </row>
    <row r="200" spans="1:80" s="140" customFormat="1" ht="35.1" customHeight="1">
      <c r="A200" s="63"/>
      <c r="B200" s="163"/>
      <c r="C200" s="163"/>
      <c r="D200" s="163"/>
      <c r="E200" s="64"/>
      <c r="F200" s="65"/>
      <c r="G200" s="65"/>
      <c r="H200" s="65"/>
      <c r="I200" s="65"/>
      <c r="J200" s="65"/>
      <c r="K200" s="65"/>
      <c r="L200" s="65"/>
      <c r="M200" s="44"/>
      <c r="N200" s="44"/>
      <c r="O200" s="44"/>
      <c r="P200" s="17"/>
      <c r="Q200" s="138"/>
      <c r="R200" s="242" t="str">
        <f t="shared" si="7"/>
        <v/>
      </c>
      <c r="S200" s="243" t="str">
        <f t="shared" si="8"/>
        <v>-</v>
      </c>
      <c r="T200" s="139"/>
      <c r="U200" s="139"/>
      <c r="V200" s="139"/>
      <c r="W200" s="139"/>
      <c r="X200" s="139"/>
    </row>
    <row r="201" spans="1:80" s="140" customFormat="1" ht="35.1" customHeight="1">
      <c r="A201" s="63"/>
      <c r="B201" s="163"/>
      <c r="C201" s="163"/>
      <c r="D201" s="163"/>
      <c r="E201" s="64"/>
      <c r="F201" s="65"/>
      <c r="G201" s="65"/>
      <c r="H201" s="65"/>
      <c r="I201" s="65"/>
      <c r="J201" s="65"/>
      <c r="K201" s="65"/>
      <c r="L201" s="65"/>
      <c r="M201" s="44"/>
      <c r="N201" s="44"/>
      <c r="O201" s="44"/>
      <c r="P201" s="17"/>
      <c r="Q201" s="138"/>
      <c r="R201" s="242" t="str">
        <f t="shared" si="7"/>
        <v/>
      </c>
      <c r="S201" s="243" t="str">
        <f t="shared" si="8"/>
        <v>-</v>
      </c>
      <c r="T201" s="139"/>
      <c r="U201" s="139"/>
      <c r="V201" s="139"/>
      <c r="W201" s="139"/>
      <c r="X201" s="139"/>
    </row>
    <row r="202" spans="1:80" s="140" customFormat="1" ht="35.1" customHeight="1">
      <c r="A202" s="63"/>
      <c r="B202" s="163"/>
      <c r="C202" s="163"/>
      <c r="D202" s="163"/>
      <c r="E202" s="64"/>
      <c r="F202" s="65"/>
      <c r="G202" s="65"/>
      <c r="H202" s="65"/>
      <c r="I202" s="65"/>
      <c r="J202" s="65"/>
      <c r="K202" s="65"/>
      <c r="L202" s="65"/>
      <c r="M202" s="44"/>
      <c r="N202" s="44"/>
      <c r="O202" s="44"/>
      <c r="P202" s="17"/>
      <c r="Q202" s="138"/>
      <c r="R202" s="242" t="str">
        <f t="shared" si="7"/>
        <v/>
      </c>
      <c r="S202" s="243" t="str">
        <f t="shared" si="8"/>
        <v>-</v>
      </c>
      <c r="T202" s="139"/>
      <c r="U202" s="139"/>
      <c r="V202" s="139"/>
      <c r="W202" s="139"/>
      <c r="X202" s="139"/>
    </row>
    <row r="203" spans="1:80" s="140" customFormat="1" ht="35.1" customHeight="1">
      <c r="A203" s="63"/>
      <c r="B203" s="163"/>
      <c r="C203" s="163"/>
      <c r="D203" s="163"/>
      <c r="E203" s="64"/>
      <c r="F203" s="65"/>
      <c r="G203" s="65"/>
      <c r="H203" s="65"/>
      <c r="I203" s="65"/>
      <c r="J203" s="65"/>
      <c r="K203" s="65"/>
      <c r="L203" s="65"/>
      <c r="M203" s="44"/>
      <c r="N203" s="44"/>
      <c r="O203" s="44"/>
      <c r="P203" s="17"/>
      <c r="Q203" s="138"/>
      <c r="R203" s="242" t="str">
        <f t="shared" si="7"/>
        <v/>
      </c>
      <c r="S203" s="243" t="str">
        <f t="shared" si="8"/>
        <v>-</v>
      </c>
      <c r="T203" s="139"/>
      <c r="U203" s="139"/>
      <c r="V203" s="139"/>
      <c r="W203" s="139"/>
      <c r="X203" s="139"/>
    </row>
    <row r="204" spans="1:80" s="140" customFormat="1" ht="35.1" customHeight="1">
      <c r="A204" s="63"/>
      <c r="B204" s="163"/>
      <c r="C204" s="163"/>
      <c r="D204" s="163"/>
      <c r="E204" s="64"/>
      <c r="F204" s="65"/>
      <c r="G204" s="65"/>
      <c r="H204" s="65"/>
      <c r="I204" s="65"/>
      <c r="J204" s="65"/>
      <c r="K204" s="65"/>
      <c r="L204" s="65"/>
      <c r="M204" s="44"/>
      <c r="N204" s="44"/>
      <c r="O204" s="44"/>
      <c r="P204" s="17"/>
      <c r="Q204" s="138"/>
      <c r="R204" s="242" t="str">
        <f t="shared" si="7"/>
        <v/>
      </c>
      <c r="S204" s="243" t="str">
        <f t="shared" si="8"/>
        <v>-</v>
      </c>
      <c r="T204" s="139"/>
      <c r="U204" s="139"/>
      <c r="V204" s="139"/>
      <c r="W204" s="139"/>
      <c r="X204" s="139"/>
    </row>
    <row r="205" spans="1:80" s="211" customFormat="1" ht="35.1" customHeight="1">
      <c r="A205" s="212" t="s">
        <v>41</v>
      </c>
      <c r="B205" s="213"/>
      <c r="C205" s="213"/>
      <c r="D205" s="213"/>
      <c r="E205" s="213"/>
      <c r="F205" s="214"/>
      <c r="G205" s="215"/>
      <c r="H205" s="215"/>
      <c r="I205" s="215">
        <f>SUM(I185:I204)</f>
        <v>0</v>
      </c>
      <c r="J205" s="214"/>
      <c r="K205" s="214"/>
      <c r="L205" s="214"/>
      <c r="M205" s="214"/>
      <c r="N205" s="214"/>
      <c r="O205" s="214"/>
      <c r="P205" s="216"/>
      <c r="Q205" s="138"/>
      <c r="R205" s="242" t="str">
        <f t="shared" si="7"/>
        <v/>
      </c>
      <c r="S205" s="243" t="str">
        <f t="shared" si="8"/>
        <v>-</v>
      </c>
      <c r="T205" s="139"/>
      <c r="U205" s="139"/>
      <c r="V205" s="139"/>
      <c r="W205" s="139"/>
      <c r="X205" s="139"/>
      <c r="Y205" s="210"/>
      <c r="Z205" s="210"/>
      <c r="AA205" s="210"/>
      <c r="AB205" s="210"/>
      <c r="AC205" s="210"/>
      <c r="AD205" s="210"/>
      <c r="AE205" s="210"/>
      <c r="AF205" s="210"/>
      <c r="AG205" s="210"/>
      <c r="AH205" s="210"/>
      <c r="AI205" s="210"/>
      <c r="AJ205" s="210"/>
      <c r="AK205" s="210"/>
      <c r="AL205" s="210"/>
      <c r="AM205" s="210"/>
      <c r="AN205" s="210"/>
      <c r="AO205" s="210"/>
      <c r="AP205" s="210"/>
      <c r="AQ205" s="210"/>
      <c r="AR205" s="210"/>
      <c r="AS205" s="210"/>
      <c r="AT205" s="210"/>
      <c r="AU205" s="210"/>
      <c r="AV205" s="210"/>
      <c r="AW205" s="210"/>
      <c r="AX205" s="210"/>
      <c r="AY205" s="210"/>
      <c r="AZ205" s="210"/>
      <c r="BA205" s="210"/>
      <c r="BB205" s="210"/>
      <c r="BC205" s="210"/>
      <c r="BD205" s="210"/>
      <c r="BE205" s="210"/>
      <c r="BF205" s="210"/>
      <c r="BG205" s="210"/>
      <c r="BH205" s="210"/>
      <c r="BI205" s="210"/>
      <c r="BJ205" s="210"/>
      <c r="BK205" s="210"/>
      <c r="BL205" s="210"/>
      <c r="BM205" s="210"/>
      <c r="BN205" s="210"/>
      <c r="BO205" s="210"/>
      <c r="BP205" s="210"/>
      <c r="BQ205" s="210"/>
      <c r="BR205" s="210"/>
      <c r="BS205" s="210"/>
      <c r="BT205" s="210"/>
      <c r="BU205" s="210"/>
      <c r="BV205" s="210"/>
      <c r="BW205" s="210"/>
      <c r="BX205" s="210"/>
      <c r="BY205" s="210"/>
      <c r="BZ205" s="210"/>
      <c r="CA205" s="210"/>
      <c r="CB205" s="210"/>
    </row>
    <row r="206" spans="1:80" s="140" customFormat="1" ht="35.1" customHeight="1">
      <c r="A206" s="58"/>
      <c r="B206" s="161"/>
      <c r="C206" s="161"/>
      <c r="D206" s="161"/>
      <c r="E206" s="82"/>
      <c r="F206" s="59"/>
      <c r="G206" s="59"/>
      <c r="H206" s="59"/>
      <c r="I206" s="59"/>
      <c r="J206" s="59"/>
      <c r="K206" s="59"/>
      <c r="L206" s="59"/>
      <c r="M206" s="43"/>
      <c r="N206" s="43"/>
      <c r="O206" s="43"/>
      <c r="P206" s="16"/>
      <c r="Q206" s="138"/>
      <c r="R206" s="242" t="str">
        <f t="shared" si="7"/>
        <v/>
      </c>
      <c r="S206" s="243" t="str">
        <f t="shared" si="8"/>
        <v>-</v>
      </c>
      <c r="T206" s="139"/>
      <c r="U206" s="139"/>
      <c r="V206" s="139"/>
      <c r="W206" s="139"/>
      <c r="X206" s="139"/>
    </row>
    <row r="207" spans="1:80" s="140" customFormat="1" ht="35.1" customHeight="1">
      <c r="A207" s="92"/>
      <c r="B207" s="162"/>
      <c r="C207" s="162"/>
      <c r="D207" s="162"/>
      <c r="E207" s="96"/>
      <c r="F207" s="93"/>
      <c r="G207" s="93"/>
      <c r="H207" s="93"/>
      <c r="I207" s="93"/>
      <c r="J207" s="93"/>
      <c r="K207" s="93"/>
      <c r="L207" s="93"/>
      <c r="M207" s="94"/>
      <c r="N207" s="94"/>
      <c r="O207" s="94"/>
      <c r="P207" s="95"/>
      <c r="Q207" s="138"/>
      <c r="R207" s="242" t="str">
        <f t="shared" si="7"/>
        <v/>
      </c>
      <c r="S207" s="243" t="str">
        <f t="shared" si="8"/>
        <v>-</v>
      </c>
      <c r="T207" s="139"/>
      <c r="U207" s="139"/>
      <c r="V207" s="139"/>
      <c r="W207" s="139"/>
      <c r="X207" s="139"/>
    </row>
    <row r="208" spans="1:80" s="140" customFormat="1" ht="35.1" customHeight="1">
      <c r="A208" s="63"/>
      <c r="B208" s="163"/>
      <c r="C208" s="163"/>
      <c r="D208" s="163"/>
      <c r="E208" s="83"/>
      <c r="F208" s="65"/>
      <c r="G208" s="65"/>
      <c r="H208" s="65"/>
      <c r="I208" s="65"/>
      <c r="J208" s="65"/>
      <c r="K208" s="65"/>
      <c r="L208" s="65"/>
      <c r="M208" s="44">
        <v>0</v>
      </c>
      <c r="N208" s="44">
        <v>0</v>
      </c>
      <c r="O208" s="44">
        <v>0</v>
      </c>
      <c r="P208" s="17"/>
      <c r="Q208" s="138"/>
      <c r="R208" s="242" t="str">
        <f t="shared" si="7"/>
        <v/>
      </c>
      <c r="S208" s="243" t="str">
        <f t="shared" si="8"/>
        <v>-</v>
      </c>
      <c r="T208" s="139"/>
      <c r="U208" s="139"/>
      <c r="V208" s="139"/>
      <c r="W208" s="139"/>
      <c r="X208" s="139"/>
    </row>
    <row r="209" spans="1:24" s="140" customFormat="1" ht="35.1" customHeight="1">
      <c r="A209" s="63"/>
      <c r="B209" s="163"/>
      <c r="C209" s="163"/>
      <c r="D209" s="163"/>
      <c r="E209" s="84"/>
      <c r="F209" s="65"/>
      <c r="G209" s="65"/>
      <c r="H209" s="65"/>
      <c r="I209" s="65"/>
      <c r="J209" s="65"/>
      <c r="K209" s="65"/>
      <c r="L209" s="65"/>
      <c r="M209" s="44">
        <v>0</v>
      </c>
      <c r="N209" s="44">
        <v>0</v>
      </c>
      <c r="O209" s="44">
        <v>0</v>
      </c>
      <c r="P209" s="17"/>
      <c r="Q209" s="138"/>
      <c r="R209" s="242" t="str">
        <f t="shared" si="7"/>
        <v/>
      </c>
      <c r="S209" s="243" t="str">
        <f t="shared" si="8"/>
        <v>-</v>
      </c>
      <c r="T209" s="139"/>
      <c r="U209" s="139"/>
      <c r="V209" s="139"/>
      <c r="W209" s="139"/>
      <c r="X209" s="139"/>
    </row>
    <row r="210" spans="1:24" s="140" customFormat="1" ht="35.1" customHeight="1">
      <c r="A210" s="63"/>
      <c r="B210" s="163"/>
      <c r="C210" s="163"/>
      <c r="D210" s="163"/>
      <c r="E210" s="89"/>
      <c r="F210" s="65"/>
      <c r="G210" s="65"/>
      <c r="H210" s="65"/>
      <c r="I210" s="65"/>
      <c r="J210" s="65"/>
      <c r="K210" s="65"/>
      <c r="L210" s="65"/>
      <c r="M210" s="44">
        <v>0</v>
      </c>
      <c r="N210" s="44">
        <v>0</v>
      </c>
      <c r="O210" s="44">
        <v>0</v>
      </c>
      <c r="P210" s="17"/>
      <c r="Q210" s="138"/>
      <c r="R210" s="242" t="str">
        <f t="shared" si="7"/>
        <v/>
      </c>
      <c r="S210" s="243" t="str">
        <f t="shared" si="8"/>
        <v>-</v>
      </c>
      <c r="T210" s="139"/>
      <c r="U210" s="139"/>
      <c r="V210" s="139"/>
      <c r="W210" s="139"/>
      <c r="X210" s="139"/>
    </row>
    <row r="211" spans="1:24" s="140" customFormat="1" ht="35.1" customHeight="1">
      <c r="A211" s="63"/>
      <c r="B211" s="163"/>
      <c r="C211" s="163"/>
      <c r="D211" s="163"/>
      <c r="E211" s="89"/>
      <c r="F211" s="65"/>
      <c r="G211" s="65"/>
      <c r="H211" s="65"/>
      <c r="I211" s="65"/>
      <c r="J211" s="65"/>
      <c r="K211" s="65"/>
      <c r="L211" s="65"/>
      <c r="M211" s="44">
        <v>0</v>
      </c>
      <c r="N211" s="44">
        <v>0</v>
      </c>
      <c r="O211" s="44">
        <v>0</v>
      </c>
      <c r="P211" s="17"/>
      <c r="Q211" s="138"/>
      <c r="R211" s="242" t="str">
        <f t="shared" si="7"/>
        <v/>
      </c>
      <c r="S211" s="243" t="str">
        <f t="shared" si="8"/>
        <v>-</v>
      </c>
      <c r="T211" s="139"/>
      <c r="U211" s="139"/>
      <c r="V211" s="139"/>
      <c r="W211" s="139"/>
      <c r="X211" s="139"/>
    </row>
    <row r="212" spans="1:24" s="140" customFormat="1" ht="35.1" customHeight="1">
      <c r="A212" s="63"/>
      <c r="B212" s="163"/>
      <c r="C212" s="163"/>
      <c r="D212" s="163"/>
      <c r="E212" s="89"/>
      <c r="F212" s="65"/>
      <c r="G212" s="65"/>
      <c r="H212" s="65"/>
      <c r="I212" s="65"/>
      <c r="J212" s="65"/>
      <c r="K212" s="65"/>
      <c r="L212" s="65"/>
      <c r="M212" s="44"/>
      <c r="N212" s="44"/>
      <c r="O212" s="44"/>
      <c r="P212" s="17"/>
      <c r="Q212" s="138"/>
      <c r="R212" s="242" t="str">
        <f t="shared" si="7"/>
        <v/>
      </c>
      <c r="S212" s="243" t="str">
        <f t="shared" si="8"/>
        <v>-</v>
      </c>
      <c r="T212" s="139"/>
      <c r="U212" s="139"/>
      <c r="V212" s="139"/>
      <c r="W212" s="139"/>
      <c r="X212" s="139"/>
    </row>
    <row r="213" spans="1:24" s="140" customFormat="1" ht="35.1" customHeight="1">
      <c r="A213" s="63"/>
      <c r="B213" s="163"/>
      <c r="C213" s="163"/>
      <c r="D213" s="163"/>
      <c r="E213" s="89"/>
      <c r="F213" s="65"/>
      <c r="G213" s="65"/>
      <c r="H213" s="65"/>
      <c r="I213" s="65"/>
      <c r="J213" s="65"/>
      <c r="K213" s="65"/>
      <c r="L213" s="65"/>
      <c r="M213" s="44"/>
      <c r="N213" s="44"/>
      <c r="O213" s="44"/>
      <c r="P213" s="17"/>
      <c r="Q213" s="138"/>
      <c r="R213" s="242" t="str">
        <f t="shared" si="7"/>
        <v/>
      </c>
      <c r="S213" s="243" t="str">
        <f t="shared" si="8"/>
        <v>-</v>
      </c>
      <c r="T213" s="139"/>
      <c r="U213" s="139"/>
      <c r="V213" s="139"/>
      <c r="W213" s="139"/>
      <c r="X213" s="139"/>
    </row>
    <row r="214" spans="1:24" s="140" customFormat="1" ht="35.1" customHeight="1">
      <c r="A214" s="63"/>
      <c r="B214" s="163"/>
      <c r="C214" s="163"/>
      <c r="D214" s="163"/>
      <c r="E214" s="89"/>
      <c r="F214" s="65"/>
      <c r="G214" s="65"/>
      <c r="H214" s="65"/>
      <c r="I214" s="65"/>
      <c r="J214" s="65"/>
      <c r="K214" s="65"/>
      <c r="L214" s="65"/>
      <c r="M214" s="44"/>
      <c r="N214" s="44"/>
      <c r="O214" s="44"/>
      <c r="P214" s="17"/>
      <c r="Q214" s="138"/>
      <c r="R214" s="242" t="str">
        <f t="shared" si="7"/>
        <v/>
      </c>
      <c r="S214" s="243" t="str">
        <f t="shared" si="8"/>
        <v>-</v>
      </c>
      <c r="T214" s="139"/>
      <c r="U214" s="139"/>
      <c r="V214" s="139"/>
      <c r="W214" s="139"/>
      <c r="X214" s="139"/>
    </row>
    <row r="215" spans="1:24" s="140" customFormat="1" ht="35.1" customHeight="1">
      <c r="A215" s="63"/>
      <c r="B215" s="163"/>
      <c r="C215" s="163"/>
      <c r="D215" s="163"/>
      <c r="E215" s="89"/>
      <c r="F215" s="65"/>
      <c r="G215" s="65"/>
      <c r="H215" s="65"/>
      <c r="I215" s="65"/>
      <c r="J215" s="65"/>
      <c r="K215" s="65"/>
      <c r="L215" s="65"/>
      <c r="M215" s="44">
        <v>0</v>
      </c>
      <c r="N215" s="44">
        <v>0</v>
      </c>
      <c r="O215" s="44">
        <v>0</v>
      </c>
      <c r="P215" s="17"/>
      <c r="Q215" s="138"/>
      <c r="R215" s="242" t="str">
        <f t="shared" si="7"/>
        <v/>
      </c>
      <c r="S215" s="243" t="str">
        <f t="shared" si="8"/>
        <v>-</v>
      </c>
      <c r="T215" s="139"/>
      <c r="U215" s="139"/>
      <c r="V215" s="139"/>
      <c r="W215" s="139"/>
      <c r="X215" s="139"/>
    </row>
    <row r="216" spans="1:24" s="140" customFormat="1" ht="35.1" customHeight="1">
      <c r="A216" s="63"/>
      <c r="B216" s="163"/>
      <c r="C216" s="163"/>
      <c r="D216" s="163"/>
      <c r="E216" s="89"/>
      <c r="F216" s="65"/>
      <c r="G216" s="65"/>
      <c r="H216" s="65"/>
      <c r="I216" s="65"/>
      <c r="J216" s="65"/>
      <c r="K216" s="65"/>
      <c r="L216" s="65"/>
      <c r="M216" s="44">
        <v>0</v>
      </c>
      <c r="N216" s="44">
        <v>0</v>
      </c>
      <c r="O216" s="44">
        <v>0</v>
      </c>
      <c r="P216" s="17"/>
      <c r="Q216" s="138"/>
      <c r="R216" s="242" t="str">
        <f t="shared" si="7"/>
        <v/>
      </c>
      <c r="S216" s="243" t="str">
        <f t="shared" si="8"/>
        <v>-</v>
      </c>
      <c r="T216" s="139"/>
      <c r="U216" s="139"/>
      <c r="V216" s="139"/>
      <c r="W216" s="139"/>
      <c r="X216" s="139"/>
    </row>
    <row r="217" spans="1:24" s="140" customFormat="1" ht="35.1" customHeight="1">
      <c r="A217" s="63"/>
      <c r="B217" s="163"/>
      <c r="C217" s="163"/>
      <c r="D217" s="163"/>
      <c r="E217" s="64"/>
      <c r="F217" s="65"/>
      <c r="G217" s="65"/>
      <c r="H217" s="65"/>
      <c r="I217" s="65"/>
      <c r="J217" s="65"/>
      <c r="K217" s="65"/>
      <c r="L217" s="65"/>
      <c r="M217" s="44"/>
      <c r="N217" s="44"/>
      <c r="O217" s="44"/>
      <c r="P217" s="17"/>
      <c r="Q217" s="138"/>
      <c r="R217" s="242" t="str">
        <f t="shared" si="7"/>
        <v/>
      </c>
      <c r="S217" s="243" t="str">
        <f t="shared" si="8"/>
        <v>-</v>
      </c>
      <c r="T217" s="139"/>
      <c r="U217" s="139"/>
      <c r="V217" s="139"/>
      <c r="W217" s="139"/>
      <c r="X217" s="139"/>
    </row>
    <row r="218" spans="1:24" s="140" customFormat="1" ht="35.1" customHeight="1">
      <c r="A218" s="63"/>
      <c r="B218" s="163"/>
      <c r="C218" s="163"/>
      <c r="D218" s="163"/>
      <c r="E218" s="64"/>
      <c r="F218" s="65"/>
      <c r="G218" s="65"/>
      <c r="H218" s="65"/>
      <c r="I218" s="65"/>
      <c r="J218" s="65"/>
      <c r="K218" s="65"/>
      <c r="L218" s="65"/>
      <c r="M218" s="44"/>
      <c r="N218" s="44"/>
      <c r="O218" s="44"/>
      <c r="P218" s="17"/>
      <c r="Q218" s="138"/>
      <c r="R218" s="242" t="str">
        <f t="shared" si="7"/>
        <v/>
      </c>
      <c r="S218" s="243" t="str">
        <f t="shared" si="8"/>
        <v>-</v>
      </c>
      <c r="T218" s="139"/>
      <c r="U218" s="139"/>
      <c r="V218" s="139"/>
      <c r="W218" s="139"/>
      <c r="X218" s="139"/>
    </row>
    <row r="219" spans="1:24" s="140" customFormat="1" ht="35.1" customHeight="1">
      <c r="A219" s="63"/>
      <c r="B219" s="163"/>
      <c r="C219" s="163"/>
      <c r="D219" s="163"/>
      <c r="E219" s="64"/>
      <c r="F219" s="65"/>
      <c r="G219" s="65"/>
      <c r="H219" s="65"/>
      <c r="I219" s="65"/>
      <c r="J219" s="65"/>
      <c r="K219" s="65"/>
      <c r="L219" s="65"/>
      <c r="M219" s="44"/>
      <c r="N219" s="44"/>
      <c r="O219" s="44"/>
      <c r="P219" s="17"/>
      <c r="Q219" s="138"/>
      <c r="R219" s="242" t="str">
        <f t="shared" si="7"/>
        <v/>
      </c>
      <c r="S219" s="243" t="str">
        <f t="shared" si="8"/>
        <v>-</v>
      </c>
      <c r="T219" s="139"/>
      <c r="U219" s="139"/>
      <c r="V219" s="139"/>
      <c r="W219" s="139"/>
      <c r="X219" s="139"/>
    </row>
    <row r="220" spans="1:24" s="140" customFormat="1" ht="35.1" customHeight="1">
      <c r="A220" s="63"/>
      <c r="B220" s="163"/>
      <c r="C220" s="163"/>
      <c r="D220" s="163"/>
      <c r="E220" s="64"/>
      <c r="F220" s="65"/>
      <c r="G220" s="65"/>
      <c r="H220" s="65"/>
      <c r="I220" s="65"/>
      <c r="J220" s="65"/>
      <c r="K220" s="65"/>
      <c r="L220" s="65"/>
      <c r="M220" s="44"/>
      <c r="N220" s="44"/>
      <c r="O220" s="44"/>
      <c r="P220" s="17"/>
      <c r="Q220" s="138"/>
      <c r="R220" s="242" t="str">
        <f t="shared" si="7"/>
        <v/>
      </c>
      <c r="S220" s="243" t="str">
        <f t="shared" si="8"/>
        <v>-</v>
      </c>
      <c r="T220" s="139"/>
      <c r="U220" s="139"/>
      <c r="V220" s="139"/>
      <c r="W220" s="139"/>
      <c r="X220" s="139"/>
    </row>
    <row r="221" spans="1:24" s="140" customFormat="1" ht="35.1" customHeight="1">
      <c r="A221" s="63"/>
      <c r="B221" s="163"/>
      <c r="C221" s="163"/>
      <c r="D221" s="163"/>
      <c r="E221" s="64"/>
      <c r="F221" s="65"/>
      <c r="G221" s="65"/>
      <c r="H221" s="65"/>
      <c r="I221" s="65"/>
      <c r="J221" s="65"/>
      <c r="K221" s="65"/>
      <c r="L221" s="65"/>
      <c r="M221" s="44"/>
      <c r="N221" s="44"/>
      <c r="O221" s="44"/>
      <c r="P221" s="17"/>
      <c r="Q221" s="138"/>
      <c r="R221" s="242" t="str">
        <f t="shared" si="7"/>
        <v/>
      </c>
      <c r="S221" s="243" t="str">
        <f t="shared" si="8"/>
        <v>-</v>
      </c>
      <c r="T221" s="139"/>
      <c r="U221" s="139"/>
      <c r="V221" s="139"/>
      <c r="W221" s="139"/>
      <c r="X221" s="139"/>
    </row>
    <row r="222" spans="1:24" s="140" customFormat="1" ht="35.1" customHeight="1">
      <c r="A222" s="63"/>
      <c r="B222" s="163"/>
      <c r="C222" s="163"/>
      <c r="D222" s="163"/>
      <c r="E222" s="64"/>
      <c r="F222" s="65"/>
      <c r="G222" s="65"/>
      <c r="H222" s="65"/>
      <c r="I222" s="65"/>
      <c r="J222" s="65"/>
      <c r="K222" s="65"/>
      <c r="L222" s="65"/>
      <c r="M222" s="44"/>
      <c r="N222" s="44"/>
      <c r="O222" s="44"/>
      <c r="P222" s="17"/>
      <c r="Q222" s="138"/>
      <c r="R222" s="242" t="str">
        <f t="shared" si="7"/>
        <v/>
      </c>
      <c r="S222" s="243" t="str">
        <f t="shared" si="8"/>
        <v>-</v>
      </c>
      <c r="T222" s="139"/>
      <c r="U222" s="139"/>
      <c r="V222" s="139"/>
      <c r="W222" s="139"/>
      <c r="X222" s="139"/>
    </row>
    <row r="223" spans="1:24" s="140" customFormat="1" ht="35.1" customHeight="1">
      <c r="A223" s="63"/>
      <c r="B223" s="163"/>
      <c r="C223" s="163"/>
      <c r="D223" s="163"/>
      <c r="E223" s="64"/>
      <c r="F223" s="65"/>
      <c r="G223" s="65"/>
      <c r="H223" s="65"/>
      <c r="I223" s="65"/>
      <c r="J223" s="65"/>
      <c r="K223" s="65"/>
      <c r="L223" s="65"/>
      <c r="M223" s="44"/>
      <c r="N223" s="44"/>
      <c r="O223" s="44"/>
      <c r="P223" s="17"/>
      <c r="Q223" s="138"/>
      <c r="R223" s="242" t="str">
        <f t="shared" si="7"/>
        <v/>
      </c>
      <c r="S223" s="243" t="str">
        <f t="shared" si="8"/>
        <v>-</v>
      </c>
      <c r="T223" s="139"/>
      <c r="U223" s="139"/>
      <c r="V223" s="139"/>
      <c r="W223" s="139"/>
      <c r="X223" s="139"/>
    </row>
    <row r="224" spans="1:24" s="140" customFormat="1" ht="35.1" customHeight="1">
      <c r="A224" s="63"/>
      <c r="B224" s="163"/>
      <c r="C224" s="163"/>
      <c r="D224" s="163"/>
      <c r="E224" s="64"/>
      <c r="F224" s="65"/>
      <c r="G224" s="65"/>
      <c r="H224" s="65"/>
      <c r="I224" s="65"/>
      <c r="J224" s="65"/>
      <c r="K224" s="65"/>
      <c r="L224" s="65"/>
      <c r="M224" s="44"/>
      <c r="N224" s="44"/>
      <c r="O224" s="44"/>
      <c r="P224" s="17"/>
      <c r="Q224" s="138"/>
      <c r="R224" s="242" t="str">
        <f t="shared" si="7"/>
        <v/>
      </c>
      <c r="S224" s="243" t="str">
        <f t="shared" si="8"/>
        <v>-</v>
      </c>
      <c r="T224" s="139"/>
      <c r="U224" s="139"/>
      <c r="V224" s="139"/>
      <c r="W224" s="139"/>
      <c r="X224" s="139"/>
    </row>
    <row r="225" spans="1:80" s="140" customFormat="1" ht="35.1" customHeight="1">
      <c r="A225" s="63"/>
      <c r="B225" s="163"/>
      <c r="C225" s="163"/>
      <c r="D225" s="163"/>
      <c r="E225" s="64"/>
      <c r="F225" s="65"/>
      <c r="G225" s="65"/>
      <c r="H225" s="65"/>
      <c r="I225" s="65"/>
      <c r="J225" s="65"/>
      <c r="K225" s="65"/>
      <c r="L225" s="65"/>
      <c r="M225" s="44"/>
      <c r="N225" s="44"/>
      <c r="O225" s="44"/>
      <c r="P225" s="17"/>
      <c r="Q225" s="138"/>
      <c r="R225" s="242" t="str">
        <f t="shared" si="7"/>
        <v/>
      </c>
      <c r="S225" s="243" t="str">
        <f t="shared" si="8"/>
        <v>-</v>
      </c>
      <c r="T225" s="139"/>
      <c r="U225" s="139"/>
      <c r="V225" s="139"/>
      <c r="W225" s="139"/>
      <c r="X225" s="139"/>
    </row>
    <row r="226" spans="1:80" s="211" customFormat="1" ht="35.1" customHeight="1">
      <c r="A226" s="212" t="s">
        <v>41</v>
      </c>
      <c r="B226" s="213"/>
      <c r="C226" s="213"/>
      <c r="D226" s="213"/>
      <c r="E226" s="213"/>
      <c r="F226" s="214"/>
      <c r="G226" s="215"/>
      <c r="H226" s="215"/>
      <c r="I226" s="215">
        <f>SUM(I206:I225)</f>
        <v>0</v>
      </c>
      <c r="J226" s="214"/>
      <c r="K226" s="214"/>
      <c r="L226" s="214"/>
      <c r="M226" s="214"/>
      <c r="N226" s="214"/>
      <c r="O226" s="214"/>
      <c r="P226" s="216"/>
      <c r="Q226" s="138"/>
      <c r="R226" s="242" t="str">
        <f t="shared" si="7"/>
        <v/>
      </c>
      <c r="S226" s="243" t="str">
        <f t="shared" si="8"/>
        <v>-</v>
      </c>
      <c r="T226" s="139"/>
      <c r="U226" s="139"/>
      <c r="V226" s="139"/>
      <c r="W226" s="139"/>
      <c r="X226" s="139"/>
      <c r="Y226" s="210"/>
      <c r="Z226" s="210"/>
      <c r="AA226" s="210"/>
      <c r="AB226" s="210"/>
      <c r="AC226" s="210"/>
      <c r="AD226" s="210"/>
      <c r="AE226" s="210"/>
      <c r="AF226" s="210"/>
      <c r="AG226" s="210"/>
      <c r="AH226" s="210"/>
      <c r="AI226" s="210"/>
      <c r="AJ226" s="210"/>
      <c r="AK226" s="210"/>
      <c r="AL226" s="210"/>
      <c r="AM226" s="210"/>
      <c r="AN226" s="210"/>
      <c r="AO226" s="210"/>
      <c r="AP226" s="210"/>
      <c r="AQ226" s="210"/>
      <c r="AR226" s="210"/>
      <c r="AS226" s="210"/>
      <c r="AT226" s="210"/>
      <c r="AU226" s="210"/>
      <c r="AV226" s="210"/>
      <c r="AW226" s="210"/>
      <c r="AX226" s="210"/>
      <c r="AY226" s="210"/>
      <c r="AZ226" s="210"/>
      <c r="BA226" s="210"/>
      <c r="BB226" s="210"/>
      <c r="BC226" s="210"/>
      <c r="BD226" s="210"/>
      <c r="BE226" s="210"/>
      <c r="BF226" s="210"/>
      <c r="BG226" s="210"/>
      <c r="BH226" s="210"/>
      <c r="BI226" s="210"/>
      <c r="BJ226" s="210"/>
      <c r="BK226" s="210"/>
      <c r="BL226" s="210"/>
      <c r="BM226" s="210"/>
      <c r="BN226" s="210"/>
      <c r="BO226" s="210"/>
      <c r="BP226" s="210"/>
      <c r="BQ226" s="210"/>
      <c r="BR226" s="210"/>
      <c r="BS226" s="210"/>
      <c r="BT226" s="210"/>
      <c r="BU226" s="210"/>
      <c r="BV226" s="210"/>
      <c r="BW226" s="210"/>
      <c r="BX226" s="210"/>
      <c r="BY226" s="210"/>
      <c r="BZ226" s="210"/>
      <c r="CA226" s="210"/>
      <c r="CB226" s="210"/>
    </row>
    <row r="227" spans="1:80" s="140" customFormat="1" ht="35.1" customHeight="1">
      <c r="A227" s="58"/>
      <c r="B227" s="161"/>
      <c r="C227" s="161"/>
      <c r="D227" s="161"/>
      <c r="E227" s="82"/>
      <c r="F227" s="59"/>
      <c r="G227" s="59"/>
      <c r="H227" s="59"/>
      <c r="I227" s="59"/>
      <c r="J227" s="59"/>
      <c r="K227" s="59"/>
      <c r="L227" s="59"/>
      <c r="M227" s="43"/>
      <c r="N227" s="43"/>
      <c r="O227" s="43"/>
      <c r="P227" s="16"/>
      <c r="Q227" s="138"/>
      <c r="R227" s="242" t="str">
        <f t="shared" si="7"/>
        <v/>
      </c>
      <c r="S227" s="243" t="str">
        <f t="shared" si="8"/>
        <v>-</v>
      </c>
      <c r="T227" s="139"/>
      <c r="U227" s="139"/>
      <c r="V227" s="139"/>
      <c r="W227" s="139"/>
      <c r="X227" s="139"/>
    </row>
    <row r="228" spans="1:80" s="140" customFormat="1" ht="35.1" customHeight="1">
      <c r="A228" s="92"/>
      <c r="B228" s="162"/>
      <c r="C228" s="162"/>
      <c r="D228" s="162"/>
      <c r="E228" s="96"/>
      <c r="F228" s="93"/>
      <c r="G228" s="93"/>
      <c r="H228" s="93"/>
      <c r="I228" s="93"/>
      <c r="J228" s="93"/>
      <c r="K228" s="93"/>
      <c r="L228" s="93"/>
      <c r="M228" s="94"/>
      <c r="N228" s="94"/>
      <c r="O228" s="94"/>
      <c r="P228" s="95"/>
      <c r="Q228" s="138"/>
      <c r="R228" s="242" t="str">
        <f t="shared" si="7"/>
        <v/>
      </c>
      <c r="S228" s="243" t="str">
        <f t="shared" si="8"/>
        <v>-</v>
      </c>
      <c r="T228" s="139"/>
      <c r="U228" s="139"/>
      <c r="V228" s="139"/>
      <c r="W228" s="139"/>
      <c r="X228" s="139"/>
    </row>
    <row r="229" spans="1:80" s="140" customFormat="1" ht="35.1" customHeight="1">
      <c r="A229" s="63"/>
      <c r="B229" s="163"/>
      <c r="C229" s="163"/>
      <c r="D229" s="163"/>
      <c r="E229" s="83"/>
      <c r="F229" s="65"/>
      <c r="G229" s="65"/>
      <c r="H229" s="65"/>
      <c r="I229" s="65"/>
      <c r="J229" s="65"/>
      <c r="K229" s="65"/>
      <c r="L229" s="65"/>
      <c r="M229" s="44"/>
      <c r="N229" s="44">
        <v>0</v>
      </c>
      <c r="O229" s="44">
        <v>0</v>
      </c>
      <c r="P229" s="17"/>
      <c r="Q229" s="138"/>
      <c r="R229" s="242" t="str">
        <f t="shared" si="7"/>
        <v/>
      </c>
      <c r="S229" s="243" t="str">
        <f t="shared" si="8"/>
        <v>-</v>
      </c>
      <c r="T229" s="139"/>
      <c r="U229" s="139"/>
      <c r="V229" s="139"/>
      <c r="W229" s="139"/>
      <c r="X229" s="139"/>
    </row>
    <row r="230" spans="1:80" s="140" customFormat="1" ht="35.1" customHeight="1">
      <c r="A230" s="63"/>
      <c r="B230" s="163"/>
      <c r="C230" s="163"/>
      <c r="D230" s="163"/>
      <c r="E230" s="84"/>
      <c r="F230" s="65"/>
      <c r="G230" s="65"/>
      <c r="H230" s="65"/>
      <c r="I230" s="65"/>
      <c r="J230" s="65"/>
      <c r="K230" s="65"/>
      <c r="L230" s="65"/>
      <c r="M230" s="44"/>
      <c r="N230" s="44">
        <v>0</v>
      </c>
      <c r="O230" s="44">
        <v>0</v>
      </c>
      <c r="P230" s="17"/>
      <c r="Q230" s="138"/>
      <c r="R230" s="242" t="str">
        <f t="shared" si="7"/>
        <v/>
      </c>
      <c r="S230" s="243" t="str">
        <f t="shared" si="8"/>
        <v>-</v>
      </c>
      <c r="T230" s="139"/>
      <c r="U230" s="139"/>
      <c r="V230" s="139"/>
      <c r="W230" s="139"/>
      <c r="X230" s="139"/>
    </row>
    <row r="231" spans="1:80" s="140" customFormat="1" ht="35.1" customHeight="1">
      <c r="A231" s="63"/>
      <c r="B231" s="163"/>
      <c r="C231" s="163"/>
      <c r="D231" s="163"/>
      <c r="E231" s="89"/>
      <c r="F231" s="65"/>
      <c r="G231" s="65"/>
      <c r="H231" s="65"/>
      <c r="I231" s="65"/>
      <c r="J231" s="65"/>
      <c r="K231" s="65"/>
      <c r="L231" s="65"/>
      <c r="M231" s="44"/>
      <c r="N231" s="44">
        <v>0</v>
      </c>
      <c r="O231" s="44">
        <v>0</v>
      </c>
      <c r="P231" s="17"/>
      <c r="Q231" s="138"/>
      <c r="R231" s="242" t="str">
        <f t="shared" si="7"/>
        <v/>
      </c>
      <c r="S231" s="243" t="str">
        <f t="shared" si="8"/>
        <v>-</v>
      </c>
      <c r="T231" s="139"/>
      <c r="U231" s="139"/>
      <c r="V231" s="139"/>
      <c r="W231" s="139"/>
      <c r="X231" s="139"/>
    </row>
    <row r="232" spans="1:80" s="140" customFormat="1" ht="35.1" customHeight="1">
      <c r="A232" s="63"/>
      <c r="B232" s="163"/>
      <c r="C232" s="163"/>
      <c r="D232" s="163"/>
      <c r="E232" s="89"/>
      <c r="F232" s="65"/>
      <c r="G232" s="65"/>
      <c r="H232" s="65"/>
      <c r="I232" s="65"/>
      <c r="J232" s="65"/>
      <c r="K232" s="65"/>
      <c r="L232" s="65"/>
      <c r="M232" s="44"/>
      <c r="N232" s="44">
        <v>0</v>
      </c>
      <c r="O232" s="44">
        <v>0</v>
      </c>
      <c r="P232" s="17"/>
      <c r="Q232" s="138"/>
      <c r="R232" s="242" t="str">
        <f t="shared" si="7"/>
        <v/>
      </c>
      <c r="S232" s="243" t="str">
        <f t="shared" si="8"/>
        <v>-</v>
      </c>
      <c r="T232" s="139"/>
      <c r="U232" s="139"/>
      <c r="V232" s="139"/>
      <c r="W232" s="139"/>
      <c r="X232" s="139"/>
    </row>
    <row r="233" spans="1:80" s="140" customFormat="1" ht="35.1" customHeight="1">
      <c r="A233" s="63"/>
      <c r="B233" s="163"/>
      <c r="C233" s="163"/>
      <c r="D233" s="163"/>
      <c r="E233" s="89"/>
      <c r="F233" s="65"/>
      <c r="G233" s="65"/>
      <c r="H233" s="65"/>
      <c r="I233" s="65"/>
      <c r="J233" s="65"/>
      <c r="K233" s="65"/>
      <c r="L233" s="65"/>
      <c r="M233" s="44"/>
      <c r="N233" s="44">
        <v>0</v>
      </c>
      <c r="O233" s="44">
        <v>0</v>
      </c>
      <c r="P233" s="17"/>
      <c r="Q233" s="138"/>
      <c r="R233" s="242" t="str">
        <f t="shared" si="7"/>
        <v/>
      </c>
      <c r="S233" s="243" t="str">
        <f t="shared" si="8"/>
        <v>-</v>
      </c>
      <c r="T233" s="139"/>
      <c r="U233" s="139"/>
      <c r="V233" s="139"/>
      <c r="W233" s="139"/>
      <c r="X233" s="139"/>
    </row>
    <row r="234" spans="1:80" s="140" customFormat="1" ht="35.1" customHeight="1">
      <c r="A234" s="63"/>
      <c r="B234" s="163"/>
      <c r="C234" s="163"/>
      <c r="D234" s="163"/>
      <c r="E234" s="89"/>
      <c r="F234" s="65"/>
      <c r="G234" s="65"/>
      <c r="H234" s="65"/>
      <c r="I234" s="65"/>
      <c r="J234" s="65"/>
      <c r="K234" s="65"/>
      <c r="L234" s="65"/>
      <c r="M234" s="44"/>
      <c r="N234" s="44"/>
      <c r="O234" s="44"/>
      <c r="P234" s="17"/>
      <c r="Q234" s="138"/>
      <c r="R234" s="242" t="str">
        <f t="shared" si="7"/>
        <v/>
      </c>
      <c r="S234" s="243" t="str">
        <f t="shared" si="8"/>
        <v>-</v>
      </c>
      <c r="T234" s="139"/>
      <c r="U234" s="139"/>
      <c r="V234" s="139"/>
      <c r="W234" s="139"/>
      <c r="X234" s="139"/>
    </row>
    <row r="235" spans="1:80" s="140" customFormat="1" ht="35.1" customHeight="1">
      <c r="A235" s="63"/>
      <c r="B235" s="163"/>
      <c r="C235" s="163"/>
      <c r="D235" s="163"/>
      <c r="E235" s="89"/>
      <c r="F235" s="65"/>
      <c r="G235" s="65"/>
      <c r="H235" s="65"/>
      <c r="I235" s="65"/>
      <c r="J235" s="65"/>
      <c r="K235" s="65"/>
      <c r="L235" s="65"/>
      <c r="M235" s="44"/>
      <c r="N235" s="44">
        <v>0</v>
      </c>
      <c r="O235" s="44">
        <v>0</v>
      </c>
      <c r="P235" s="17"/>
      <c r="Q235" s="138"/>
      <c r="R235" s="242" t="str">
        <f t="shared" si="7"/>
        <v/>
      </c>
      <c r="S235" s="243" t="str">
        <f t="shared" si="8"/>
        <v>-</v>
      </c>
      <c r="T235" s="139"/>
      <c r="U235" s="139"/>
      <c r="V235" s="139"/>
      <c r="W235" s="139"/>
      <c r="X235" s="139"/>
    </row>
    <row r="236" spans="1:80" s="140" customFormat="1" ht="35.1" customHeight="1">
      <c r="A236" s="63"/>
      <c r="B236" s="163"/>
      <c r="C236" s="163"/>
      <c r="D236" s="163"/>
      <c r="E236" s="89"/>
      <c r="F236" s="65"/>
      <c r="G236" s="65"/>
      <c r="H236" s="65"/>
      <c r="I236" s="65"/>
      <c r="J236" s="65"/>
      <c r="K236" s="65"/>
      <c r="L236" s="65"/>
      <c r="M236" s="44"/>
      <c r="N236" s="44">
        <v>0</v>
      </c>
      <c r="O236" s="44">
        <v>0</v>
      </c>
      <c r="P236" s="17"/>
      <c r="Q236" s="138"/>
      <c r="R236" s="242" t="str">
        <f t="shared" si="7"/>
        <v/>
      </c>
      <c r="S236" s="243" t="str">
        <f t="shared" si="8"/>
        <v>-</v>
      </c>
      <c r="T236" s="139"/>
      <c r="U236" s="139"/>
      <c r="V236" s="139"/>
      <c r="W236" s="139"/>
      <c r="X236" s="139"/>
    </row>
    <row r="237" spans="1:80" s="140" customFormat="1" ht="35.1" customHeight="1">
      <c r="A237" s="63"/>
      <c r="B237" s="163"/>
      <c r="C237" s="163"/>
      <c r="D237" s="163"/>
      <c r="E237" s="89"/>
      <c r="F237" s="65"/>
      <c r="G237" s="65"/>
      <c r="H237" s="65"/>
      <c r="I237" s="65"/>
      <c r="J237" s="65"/>
      <c r="K237" s="65"/>
      <c r="L237" s="65"/>
      <c r="M237" s="44"/>
      <c r="N237" s="44">
        <v>0</v>
      </c>
      <c r="O237" s="44">
        <v>0</v>
      </c>
      <c r="P237" s="17"/>
      <c r="Q237" s="138"/>
      <c r="R237" s="242" t="str">
        <f t="shared" si="7"/>
        <v/>
      </c>
      <c r="S237" s="243" t="str">
        <f t="shared" si="8"/>
        <v>-</v>
      </c>
      <c r="T237" s="139"/>
      <c r="U237" s="139"/>
      <c r="V237" s="139"/>
      <c r="W237" s="139"/>
      <c r="X237" s="139"/>
    </row>
    <row r="238" spans="1:80" s="140" customFormat="1" ht="35.1" customHeight="1">
      <c r="A238" s="63"/>
      <c r="B238" s="163"/>
      <c r="C238" s="163"/>
      <c r="D238" s="163"/>
      <c r="E238" s="64"/>
      <c r="F238" s="65"/>
      <c r="G238" s="65"/>
      <c r="H238" s="65"/>
      <c r="I238" s="65"/>
      <c r="J238" s="65"/>
      <c r="K238" s="65"/>
      <c r="L238" s="65"/>
      <c r="M238" s="44"/>
      <c r="N238" s="44"/>
      <c r="O238" s="44"/>
      <c r="P238" s="17"/>
      <c r="Q238" s="138"/>
      <c r="R238" s="242" t="str">
        <f t="shared" si="7"/>
        <v/>
      </c>
      <c r="S238" s="243" t="str">
        <f t="shared" si="8"/>
        <v>-</v>
      </c>
      <c r="T238" s="139"/>
      <c r="U238" s="139"/>
      <c r="V238" s="139"/>
      <c r="W238" s="139"/>
      <c r="X238" s="139"/>
    </row>
    <row r="239" spans="1:80" s="140" customFormat="1" ht="35.1" customHeight="1">
      <c r="A239" s="63"/>
      <c r="B239" s="163"/>
      <c r="C239" s="163"/>
      <c r="D239" s="163"/>
      <c r="E239" s="64"/>
      <c r="F239" s="65"/>
      <c r="G239" s="65"/>
      <c r="H239" s="65"/>
      <c r="I239" s="65"/>
      <c r="J239" s="65"/>
      <c r="K239" s="65"/>
      <c r="L239" s="65"/>
      <c r="M239" s="44"/>
      <c r="N239" s="44"/>
      <c r="O239" s="44"/>
      <c r="P239" s="17"/>
      <c r="Q239" s="138"/>
      <c r="R239" s="242" t="str">
        <f t="shared" si="7"/>
        <v/>
      </c>
      <c r="S239" s="243" t="str">
        <f t="shared" si="8"/>
        <v>-</v>
      </c>
      <c r="T239" s="139"/>
      <c r="U239" s="139"/>
      <c r="V239" s="139"/>
      <c r="W239" s="139"/>
      <c r="X239" s="139"/>
    </row>
    <row r="240" spans="1:80" s="140" customFormat="1" ht="35.1" customHeight="1">
      <c r="A240" s="63"/>
      <c r="B240" s="163"/>
      <c r="C240" s="163"/>
      <c r="D240" s="163"/>
      <c r="E240" s="64"/>
      <c r="F240" s="65"/>
      <c r="G240" s="65"/>
      <c r="H240" s="65"/>
      <c r="I240" s="65"/>
      <c r="J240" s="65"/>
      <c r="K240" s="65"/>
      <c r="L240" s="65"/>
      <c r="M240" s="44"/>
      <c r="N240" s="44"/>
      <c r="O240" s="44"/>
      <c r="P240" s="17"/>
      <c r="Q240" s="138"/>
      <c r="R240" s="242" t="str">
        <f t="shared" si="7"/>
        <v/>
      </c>
      <c r="S240" s="243" t="str">
        <f t="shared" si="8"/>
        <v>-</v>
      </c>
      <c r="T240" s="139"/>
      <c r="U240" s="139"/>
      <c r="V240" s="139"/>
      <c r="W240" s="139"/>
      <c r="X240" s="139"/>
    </row>
    <row r="241" spans="1:80" s="140" customFormat="1" ht="35.1" customHeight="1">
      <c r="A241" s="63"/>
      <c r="B241" s="163"/>
      <c r="C241" s="163"/>
      <c r="D241" s="163"/>
      <c r="E241" s="64"/>
      <c r="F241" s="65"/>
      <c r="G241" s="65"/>
      <c r="H241" s="65"/>
      <c r="I241" s="65"/>
      <c r="J241" s="65"/>
      <c r="K241" s="65"/>
      <c r="L241" s="65"/>
      <c r="M241" s="44"/>
      <c r="N241" s="44"/>
      <c r="O241" s="44"/>
      <c r="P241" s="17"/>
      <c r="Q241" s="138"/>
      <c r="R241" s="242" t="str">
        <f t="shared" si="7"/>
        <v/>
      </c>
      <c r="S241" s="243" t="str">
        <f t="shared" si="8"/>
        <v>-</v>
      </c>
      <c r="T241" s="139"/>
      <c r="U241" s="139"/>
      <c r="V241" s="139"/>
      <c r="W241" s="139"/>
      <c r="X241" s="139"/>
    </row>
    <row r="242" spans="1:80" s="140" customFormat="1" ht="35.1" customHeight="1">
      <c r="A242" s="63"/>
      <c r="B242" s="163"/>
      <c r="C242" s="163"/>
      <c r="D242" s="163"/>
      <c r="E242" s="64"/>
      <c r="F242" s="65"/>
      <c r="G242" s="65"/>
      <c r="H242" s="65"/>
      <c r="I242" s="65"/>
      <c r="J242" s="65"/>
      <c r="K242" s="65"/>
      <c r="L242" s="65"/>
      <c r="M242" s="44"/>
      <c r="N242" s="44"/>
      <c r="O242" s="44"/>
      <c r="P242" s="17"/>
      <c r="Q242" s="138"/>
      <c r="R242" s="242" t="str">
        <f t="shared" si="7"/>
        <v/>
      </c>
      <c r="S242" s="243" t="str">
        <f t="shared" si="8"/>
        <v>-</v>
      </c>
      <c r="T242" s="139"/>
      <c r="U242" s="139"/>
      <c r="V242" s="139"/>
      <c r="W242" s="139"/>
      <c r="X242" s="139"/>
    </row>
    <row r="243" spans="1:80" s="140" customFormat="1" ht="35.1" customHeight="1">
      <c r="A243" s="63"/>
      <c r="B243" s="163"/>
      <c r="C243" s="163"/>
      <c r="D243" s="163"/>
      <c r="E243" s="64"/>
      <c r="F243" s="65"/>
      <c r="G243" s="65"/>
      <c r="H243" s="65"/>
      <c r="I243" s="65"/>
      <c r="J243" s="65"/>
      <c r="K243" s="65"/>
      <c r="L243" s="65"/>
      <c r="M243" s="44"/>
      <c r="N243" s="44"/>
      <c r="O243" s="44"/>
      <c r="P243" s="17"/>
      <c r="Q243" s="138"/>
      <c r="R243" s="242" t="str">
        <f t="shared" si="7"/>
        <v/>
      </c>
      <c r="S243" s="243" t="str">
        <f t="shared" si="8"/>
        <v>-</v>
      </c>
      <c r="T243" s="139"/>
      <c r="U243" s="139"/>
      <c r="V243" s="139"/>
      <c r="W243" s="139"/>
      <c r="X243" s="139"/>
    </row>
    <row r="244" spans="1:80" s="140" customFormat="1" ht="35.1" customHeight="1">
      <c r="A244" s="63"/>
      <c r="B244" s="163"/>
      <c r="C244" s="163"/>
      <c r="D244" s="163"/>
      <c r="E244" s="64"/>
      <c r="F244" s="65"/>
      <c r="G244" s="65"/>
      <c r="H244" s="65"/>
      <c r="I244" s="65"/>
      <c r="J244" s="65"/>
      <c r="K244" s="65"/>
      <c r="L244" s="65"/>
      <c r="M244" s="44"/>
      <c r="N244" s="44"/>
      <c r="O244" s="44"/>
      <c r="P244" s="17"/>
      <c r="Q244" s="138"/>
      <c r="R244" s="242" t="str">
        <f t="shared" si="7"/>
        <v/>
      </c>
      <c r="S244" s="243" t="str">
        <f t="shared" si="8"/>
        <v>-</v>
      </c>
      <c r="T244" s="139"/>
      <c r="U244" s="139"/>
      <c r="V244" s="139"/>
      <c r="W244" s="139"/>
      <c r="X244" s="139"/>
    </row>
    <row r="245" spans="1:80" s="140" customFormat="1" ht="35.1" customHeight="1">
      <c r="A245" s="63"/>
      <c r="B245" s="163"/>
      <c r="C245" s="163"/>
      <c r="D245" s="163"/>
      <c r="E245" s="64"/>
      <c r="F245" s="65"/>
      <c r="G245" s="65"/>
      <c r="H245" s="65"/>
      <c r="I245" s="65"/>
      <c r="J245" s="65"/>
      <c r="K245" s="65"/>
      <c r="L245" s="65"/>
      <c r="M245" s="44"/>
      <c r="N245" s="44"/>
      <c r="O245" s="44"/>
      <c r="P245" s="17"/>
      <c r="Q245" s="138"/>
      <c r="R245" s="242" t="str">
        <f t="shared" si="7"/>
        <v/>
      </c>
      <c r="S245" s="243" t="str">
        <f t="shared" si="8"/>
        <v>-</v>
      </c>
      <c r="T245" s="139"/>
      <c r="U245" s="139"/>
      <c r="V245" s="139"/>
      <c r="W245" s="139"/>
      <c r="X245" s="139"/>
    </row>
    <row r="246" spans="1:80" s="140" customFormat="1" ht="35.1" customHeight="1">
      <c r="A246" s="63"/>
      <c r="B246" s="163"/>
      <c r="C246" s="163"/>
      <c r="D246" s="163"/>
      <c r="E246" s="64"/>
      <c r="F246" s="65"/>
      <c r="G246" s="65"/>
      <c r="H246" s="65"/>
      <c r="I246" s="65"/>
      <c r="J246" s="65"/>
      <c r="K246" s="65"/>
      <c r="L246" s="65"/>
      <c r="M246" s="44"/>
      <c r="N246" s="44"/>
      <c r="O246" s="44"/>
      <c r="P246" s="17"/>
      <c r="Q246" s="138"/>
      <c r="R246" s="242" t="str">
        <f t="shared" si="7"/>
        <v/>
      </c>
      <c r="S246" s="243" t="str">
        <f t="shared" si="8"/>
        <v>-</v>
      </c>
      <c r="T246" s="139"/>
      <c r="U246" s="139"/>
      <c r="V246" s="139"/>
      <c r="W246" s="139"/>
      <c r="X246" s="139"/>
    </row>
    <row r="247" spans="1:80" s="211" customFormat="1" ht="35.1" customHeight="1">
      <c r="A247" s="212" t="s">
        <v>41</v>
      </c>
      <c r="B247" s="213"/>
      <c r="C247" s="213"/>
      <c r="D247" s="213"/>
      <c r="E247" s="213"/>
      <c r="F247" s="214"/>
      <c r="G247" s="215"/>
      <c r="H247" s="215"/>
      <c r="I247" s="215">
        <f>SUM(I227:I246)</f>
        <v>0</v>
      </c>
      <c r="J247" s="214"/>
      <c r="K247" s="214"/>
      <c r="L247" s="214"/>
      <c r="M247" s="214"/>
      <c r="N247" s="214"/>
      <c r="O247" s="214"/>
      <c r="P247" s="216"/>
      <c r="Q247" s="138"/>
      <c r="R247" s="242" t="str">
        <f t="shared" si="7"/>
        <v/>
      </c>
      <c r="S247" s="243" t="str">
        <f t="shared" si="8"/>
        <v>-</v>
      </c>
      <c r="T247" s="139"/>
      <c r="U247" s="139"/>
      <c r="V247" s="139"/>
      <c r="W247" s="139"/>
      <c r="X247" s="139"/>
      <c r="Y247" s="210"/>
      <c r="Z247" s="210"/>
      <c r="AA247" s="210"/>
      <c r="AB247" s="210"/>
      <c r="AC247" s="210"/>
      <c r="AD247" s="210"/>
      <c r="AE247" s="210"/>
      <c r="AF247" s="210"/>
      <c r="AG247" s="210"/>
      <c r="AH247" s="210"/>
      <c r="AI247" s="210"/>
      <c r="AJ247" s="210"/>
      <c r="AK247" s="210"/>
      <c r="AL247" s="210"/>
      <c r="AM247" s="210"/>
      <c r="AN247" s="210"/>
      <c r="AO247" s="210"/>
      <c r="AP247" s="210"/>
      <c r="AQ247" s="210"/>
      <c r="AR247" s="210"/>
      <c r="AS247" s="210"/>
      <c r="AT247" s="210"/>
      <c r="AU247" s="210"/>
      <c r="AV247" s="210"/>
      <c r="AW247" s="210"/>
      <c r="AX247" s="210"/>
      <c r="AY247" s="210"/>
      <c r="AZ247" s="210"/>
      <c r="BA247" s="210"/>
      <c r="BB247" s="210"/>
      <c r="BC247" s="210"/>
      <c r="BD247" s="210"/>
      <c r="BE247" s="210"/>
      <c r="BF247" s="210"/>
      <c r="BG247" s="210"/>
      <c r="BH247" s="210"/>
      <c r="BI247" s="210"/>
      <c r="BJ247" s="210"/>
      <c r="BK247" s="210"/>
      <c r="BL247" s="210"/>
      <c r="BM247" s="210"/>
      <c r="BN247" s="210"/>
      <c r="BO247" s="210"/>
      <c r="BP247" s="210"/>
      <c r="BQ247" s="210"/>
      <c r="BR247" s="210"/>
      <c r="BS247" s="210"/>
      <c r="BT247" s="210"/>
      <c r="BU247" s="210"/>
      <c r="BV247" s="210"/>
      <c r="BW247" s="210"/>
      <c r="BX247" s="210"/>
      <c r="BY247" s="210"/>
      <c r="BZ247" s="210"/>
      <c r="CA247" s="210"/>
      <c r="CB247" s="210"/>
    </row>
    <row r="248" spans="1:80" s="140" customFormat="1" ht="35.1" customHeight="1">
      <c r="A248" s="58"/>
      <c r="B248" s="161"/>
      <c r="C248" s="161"/>
      <c r="D248" s="161"/>
      <c r="E248" s="82"/>
      <c r="F248" s="59"/>
      <c r="G248" s="59"/>
      <c r="H248" s="59"/>
      <c r="I248" s="59"/>
      <c r="J248" s="59"/>
      <c r="K248" s="59"/>
      <c r="L248" s="59"/>
      <c r="M248" s="43"/>
      <c r="N248" s="43"/>
      <c r="O248" s="43"/>
      <c r="P248" s="16"/>
      <c r="Q248" s="138"/>
      <c r="R248" s="242" t="str">
        <f t="shared" si="7"/>
        <v/>
      </c>
      <c r="S248" s="243" t="str">
        <f t="shared" si="8"/>
        <v>-</v>
      </c>
      <c r="T248" s="139"/>
      <c r="U248" s="139"/>
      <c r="V248" s="139"/>
      <c r="W248" s="139"/>
      <c r="X248" s="139"/>
    </row>
    <row r="249" spans="1:80" s="140" customFormat="1" ht="35.1" customHeight="1">
      <c r="A249" s="92"/>
      <c r="B249" s="162"/>
      <c r="C249" s="162"/>
      <c r="D249" s="162"/>
      <c r="E249" s="96"/>
      <c r="F249" s="93"/>
      <c r="G249" s="93"/>
      <c r="H249" s="93"/>
      <c r="I249" s="93"/>
      <c r="J249" s="93"/>
      <c r="K249" s="93"/>
      <c r="L249" s="93"/>
      <c r="M249" s="94"/>
      <c r="N249" s="94"/>
      <c r="O249" s="94"/>
      <c r="P249" s="95"/>
      <c r="Q249" s="138"/>
      <c r="R249" s="242" t="str">
        <f t="shared" si="7"/>
        <v/>
      </c>
      <c r="S249" s="243" t="str">
        <f t="shared" si="8"/>
        <v>-</v>
      </c>
      <c r="T249" s="139"/>
      <c r="U249" s="139"/>
      <c r="V249" s="139"/>
      <c r="W249" s="139"/>
      <c r="X249" s="139"/>
    </row>
    <row r="250" spans="1:80" s="140" customFormat="1" ht="35.1" customHeight="1">
      <c r="A250" s="63"/>
      <c r="B250" s="163"/>
      <c r="C250" s="163"/>
      <c r="D250" s="163"/>
      <c r="E250" s="83"/>
      <c r="F250" s="65"/>
      <c r="G250" s="65"/>
      <c r="H250" s="65"/>
      <c r="I250" s="65"/>
      <c r="J250" s="65"/>
      <c r="K250" s="65"/>
      <c r="L250" s="65"/>
      <c r="M250" s="44">
        <v>0</v>
      </c>
      <c r="N250" s="44">
        <v>0</v>
      </c>
      <c r="O250" s="44">
        <v>0</v>
      </c>
      <c r="P250" s="17"/>
      <c r="Q250" s="138"/>
      <c r="R250" s="242" t="str">
        <f t="shared" si="7"/>
        <v/>
      </c>
      <c r="S250" s="243" t="str">
        <f t="shared" si="8"/>
        <v>-</v>
      </c>
      <c r="T250" s="139"/>
      <c r="U250" s="139"/>
      <c r="V250" s="139"/>
      <c r="W250" s="139"/>
      <c r="X250" s="139"/>
    </row>
    <row r="251" spans="1:80" s="140" customFormat="1" ht="35.1" customHeight="1">
      <c r="A251" s="63"/>
      <c r="B251" s="163"/>
      <c r="C251" s="163"/>
      <c r="D251" s="163"/>
      <c r="E251" s="84"/>
      <c r="F251" s="65"/>
      <c r="G251" s="65"/>
      <c r="H251" s="65"/>
      <c r="I251" s="65"/>
      <c r="J251" s="65"/>
      <c r="K251" s="65"/>
      <c r="L251" s="65"/>
      <c r="M251" s="44">
        <v>0</v>
      </c>
      <c r="N251" s="44">
        <v>0</v>
      </c>
      <c r="O251" s="44">
        <v>0</v>
      </c>
      <c r="P251" s="17"/>
      <c r="Q251" s="138"/>
      <c r="R251" s="242" t="str">
        <f t="shared" si="7"/>
        <v/>
      </c>
      <c r="S251" s="243" t="str">
        <f t="shared" si="8"/>
        <v>-</v>
      </c>
      <c r="T251" s="139"/>
      <c r="U251" s="139"/>
      <c r="V251" s="139"/>
      <c r="W251" s="139"/>
      <c r="X251" s="139"/>
    </row>
    <row r="252" spans="1:80" s="140" customFormat="1" ht="35.1" customHeight="1">
      <c r="A252" s="63"/>
      <c r="B252" s="163"/>
      <c r="C252" s="163"/>
      <c r="D252" s="163"/>
      <c r="E252" s="89"/>
      <c r="F252" s="65"/>
      <c r="G252" s="65"/>
      <c r="H252" s="65"/>
      <c r="I252" s="65"/>
      <c r="J252" s="65"/>
      <c r="K252" s="65"/>
      <c r="L252" s="65"/>
      <c r="M252" s="44">
        <v>0</v>
      </c>
      <c r="N252" s="44">
        <v>0</v>
      </c>
      <c r="O252" s="44">
        <v>0</v>
      </c>
      <c r="P252" s="17"/>
      <c r="Q252" s="138"/>
      <c r="R252" s="242" t="str">
        <f t="shared" si="7"/>
        <v/>
      </c>
      <c r="S252" s="243" t="str">
        <f t="shared" si="8"/>
        <v>-</v>
      </c>
      <c r="T252" s="139"/>
      <c r="U252" s="139"/>
      <c r="V252" s="139"/>
      <c r="W252" s="139"/>
      <c r="X252" s="139"/>
    </row>
    <row r="253" spans="1:80" s="140" customFormat="1" ht="35.1" customHeight="1">
      <c r="A253" s="63"/>
      <c r="B253" s="163"/>
      <c r="C253" s="163"/>
      <c r="D253" s="163"/>
      <c r="E253" s="89"/>
      <c r="F253" s="65"/>
      <c r="G253" s="65"/>
      <c r="H253" s="65"/>
      <c r="I253" s="65"/>
      <c r="J253" s="65"/>
      <c r="K253" s="65"/>
      <c r="L253" s="65"/>
      <c r="M253" s="44">
        <v>0</v>
      </c>
      <c r="N253" s="44">
        <v>0</v>
      </c>
      <c r="O253" s="44">
        <v>0</v>
      </c>
      <c r="P253" s="17"/>
      <c r="Q253" s="138"/>
      <c r="R253" s="242" t="str">
        <f t="shared" si="7"/>
        <v/>
      </c>
      <c r="S253" s="243" t="str">
        <f t="shared" si="8"/>
        <v>-</v>
      </c>
      <c r="T253" s="139"/>
      <c r="U253" s="139"/>
      <c r="V253" s="139"/>
      <c r="W253" s="139"/>
      <c r="X253" s="139"/>
    </row>
    <row r="254" spans="1:80" s="140" customFormat="1" ht="35.1" customHeight="1">
      <c r="A254" s="63"/>
      <c r="B254" s="163"/>
      <c r="C254" s="163"/>
      <c r="D254" s="163"/>
      <c r="E254" s="89"/>
      <c r="F254" s="65"/>
      <c r="G254" s="65"/>
      <c r="H254" s="65"/>
      <c r="I254" s="65"/>
      <c r="J254" s="65"/>
      <c r="K254" s="65"/>
      <c r="L254" s="65"/>
      <c r="M254" s="44"/>
      <c r="N254" s="44"/>
      <c r="O254" s="44"/>
      <c r="P254" s="17"/>
      <c r="Q254" s="138"/>
      <c r="R254" s="242" t="str">
        <f t="shared" si="7"/>
        <v/>
      </c>
      <c r="S254" s="243" t="str">
        <f t="shared" si="8"/>
        <v>-</v>
      </c>
      <c r="T254" s="139"/>
      <c r="U254" s="139"/>
      <c r="V254" s="139"/>
      <c r="W254" s="139"/>
      <c r="X254" s="139"/>
    </row>
    <row r="255" spans="1:80" s="140" customFormat="1" ht="35.1" customHeight="1">
      <c r="A255" s="63"/>
      <c r="B255" s="163"/>
      <c r="C255" s="163"/>
      <c r="D255" s="163"/>
      <c r="E255" s="89"/>
      <c r="F255" s="65"/>
      <c r="G255" s="65"/>
      <c r="H255" s="65"/>
      <c r="I255" s="65"/>
      <c r="J255" s="65"/>
      <c r="K255" s="65"/>
      <c r="L255" s="65"/>
      <c r="M255" s="44"/>
      <c r="N255" s="44"/>
      <c r="O255" s="44"/>
      <c r="P255" s="17"/>
      <c r="Q255" s="138"/>
      <c r="R255" s="242" t="str">
        <f t="shared" si="7"/>
        <v/>
      </c>
      <c r="S255" s="243" t="str">
        <f t="shared" si="8"/>
        <v>-</v>
      </c>
      <c r="T255" s="139"/>
      <c r="U255" s="139"/>
      <c r="V255" s="139"/>
      <c r="W255" s="139"/>
      <c r="X255" s="139"/>
    </row>
    <row r="256" spans="1:80" s="140" customFormat="1" ht="35.1" customHeight="1">
      <c r="A256" s="63"/>
      <c r="B256" s="163"/>
      <c r="C256" s="163"/>
      <c r="D256" s="163"/>
      <c r="E256" s="89"/>
      <c r="F256" s="65"/>
      <c r="G256" s="65"/>
      <c r="H256" s="65"/>
      <c r="I256" s="65"/>
      <c r="J256" s="65"/>
      <c r="K256" s="65"/>
      <c r="L256" s="65"/>
      <c r="M256" s="44"/>
      <c r="N256" s="44"/>
      <c r="O256" s="44"/>
      <c r="P256" s="17"/>
      <c r="Q256" s="138"/>
      <c r="R256" s="242" t="str">
        <f t="shared" si="7"/>
        <v/>
      </c>
      <c r="S256" s="243" t="str">
        <f t="shared" si="8"/>
        <v>-</v>
      </c>
      <c r="T256" s="139"/>
      <c r="U256" s="139"/>
      <c r="V256" s="139"/>
      <c r="W256" s="139"/>
      <c r="X256" s="139"/>
    </row>
    <row r="257" spans="1:80" s="140" customFormat="1" ht="35.1" customHeight="1">
      <c r="A257" s="63"/>
      <c r="B257" s="163"/>
      <c r="C257" s="163"/>
      <c r="D257" s="163"/>
      <c r="E257" s="89"/>
      <c r="F257" s="65"/>
      <c r="G257" s="65"/>
      <c r="H257" s="65"/>
      <c r="I257" s="65"/>
      <c r="J257" s="65"/>
      <c r="K257" s="65"/>
      <c r="L257" s="65"/>
      <c r="M257" s="44">
        <v>0</v>
      </c>
      <c r="N257" s="44">
        <v>0</v>
      </c>
      <c r="O257" s="44">
        <v>0</v>
      </c>
      <c r="P257" s="17"/>
      <c r="Q257" s="138"/>
      <c r="R257" s="242" t="str">
        <f t="shared" si="7"/>
        <v/>
      </c>
      <c r="S257" s="243" t="str">
        <f t="shared" si="8"/>
        <v>-</v>
      </c>
      <c r="T257" s="139"/>
      <c r="U257" s="139"/>
      <c r="V257" s="139"/>
      <c r="W257" s="139"/>
      <c r="X257" s="139"/>
    </row>
    <row r="258" spans="1:80" s="140" customFormat="1" ht="35.1" customHeight="1">
      <c r="A258" s="63"/>
      <c r="B258" s="163"/>
      <c r="C258" s="163"/>
      <c r="D258" s="163"/>
      <c r="E258" s="89"/>
      <c r="F258" s="65"/>
      <c r="G258" s="65"/>
      <c r="H258" s="65"/>
      <c r="I258" s="65"/>
      <c r="J258" s="65"/>
      <c r="K258" s="65"/>
      <c r="L258" s="65"/>
      <c r="M258" s="44">
        <v>0</v>
      </c>
      <c r="N258" s="44">
        <v>0</v>
      </c>
      <c r="O258" s="44">
        <v>0</v>
      </c>
      <c r="P258" s="17"/>
      <c r="Q258" s="138"/>
      <c r="R258" s="242" t="str">
        <f t="shared" si="7"/>
        <v/>
      </c>
      <c r="S258" s="243" t="str">
        <f t="shared" si="8"/>
        <v>-</v>
      </c>
      <c r="T258" s="139"/>
      <c r="U258" s="139"/>
      <c r="V258" s="139"/>
      <c r="W258" s="139"/>
      <c r="X258" s="139"/>
    </row>
    <row r="259" spans="1:80" s="140" customFormat="1" ht="35.1" customHeight="1">
      <c r="A259" s="63"/>
      <c r="B259" s="163"/>
      <c r="C259" s="163"/>
      <c r="D259" s="163"/>
      <c r="E259" s="64"/>
      <c r="F259" s="65"/>
      <c r="G259" s="65"/>
      <c r="H259" s="65"/>
      <c r="I259" s="65"/>
      <c r="J259" s="65"/>
      <c r="K259" s="65"/>
      <c r="L259" s="65"/>
      <c r="M259" s="44"/>
      <c r="N259" s="44"/>
      <c r="O259" s="44"/>
      <c r="P259" s="17"/>
      <c r="Q259" s="138"/>
      <c r="R259" s="242" t="str">
        <f t="shared" si="7"/>
        <v/>
      </c>
      <c r="S259" s="243" t="str">
        <f t="shared" si="8"/>
        <v>-</v>
      </c>
      <c r="T259" s="139"/>
      <c r="U259" s="139"/>
      <c r="V259" s="139"/>
      <c r="W259" s="139"/>
      <c r="X259" s="139"/>
    </row>
    <row r="260" spans="1:80" s="140" customFormat="1" ht="35.1" customHeight="1">
      <c r="A260" s="63"/>
      <c r="B260" s="163"/>
      <c r="C260" s="163"/>
      <c r="D260" s="163"/>
      <c r="E260" s="64"/>
      <c r="F260" s="65"/>
      <c r="G260" s="65"/>
      <c r="H260" s="65"/>
      <c r="I260" s="65"/>
      <c r="J260" s="65"/>
      <c r="K260" s="65"/>
      <c r="L260" s="65"/>
      <c r="M260" s="44"/>
      <c r="N260" s="44"/>
      <c r="O260" s="44"/>
      <c r="P260" s="17"/>
      <c r="Q260" s="138"/>
      <c r="R260" s="242" t="str">
        <f t="shared" si="7"/>
        <v/>
      </c>
      <c r="S260" s="243" t="str">
        <f t="shared" si="8"/>
        <v>-</v>
      </c>
      <c r="T260" s="139"/>
      <c r="U260" s="139"/>
      <c r="V260" s="139"/>
      <c r="W260" s="139"/>
      <c r="X260" s="139"/>
    </row>
    <row r="261" spans="1:80" s="140" customFormat="1" ht="35.1" customHeight="1">
      <c r="A261" s="63"/>
      <c r="B261" s="163"/>
      <c r="C261" s="163"/>
      <c r="D261" s="163"/>
      <c r="E261" s="64"/>
      <c r="F261" s="65"/>
      <c r="G261" s="65"/>
      <c r="H261" s="65"/>
      <c r="I261" s="65"/>
      <c r="J261" s="65"/>
      <c r="K261" s="65"/>
      <c r="L261" s="65"/>
      <c r="M261" s="44"/>
      <c r="N261" s="44"/>
      <c r="O261" s="44"/>
      <c r="P261" s="17"/>
      <c r="Q261" s="138"/>
      <c r="R261" s="242" t="str">
        <f t="shared" si="7"/>
        <v/>
      </c>
      <c r="S261" s="243" t="str">
        <f t="shared" si="8"/>
        <v>-</v>
      </c>
      <c r="T261" s="139"/>
      <c r="U261" s="139"/>
      <c r="V261" s="139"/>
      <c r="W261" s="139"/>
      <c r="X261" s="139"/>
    </row>
    <row r="262" spans="1:80" s="140" customFormat="1" ht="35.1" customHeight="1">
      <c r="A262" s="63"/>
      <c r="B262" s="163"/>
      <c r="C262" s="163"/>
      <c r="D262" s="163"/>
      <c r="E262" s="64"/>
      <c r="F262" s="65"/>
      <c r="G262" s="65"/>
      <c r="H262" s="65"/>
      <c r="I262" s="65"/>
      <c r="J262" s="65"/>
      <c r="K262" s="65"/>
      <c r="L262" s="65"/>
      <c r="M262" s="44"/>
      <c r="N262" s="44"/>
      <c r="O262" s="44"/>
      <c r="P262" s="17"/>
      <c r="Q262" s="138"/>
      <c r="R262" s="242" t="str">
        <f t="shared" si="7"/>
        <v/>
      </c>
      <c r="S262" s="243" t="str">
        <f t="shared" si="8"/>
        <v>-</v>
      </c>
      <c r="T262" s="139"/>
      <c r="U262" s="139"/>
      <c r="V262" s="139"/>
      <c r="W262" s="139"/>
      <c r="X262" s="139"/>
    </row>
    <row r="263" spans="1:80" s="140" customFormat="1" ht="35.1" customHeight="1">
      <c r="A263" s="63"/>
      <c r="B263" s="163"/>
      <c r="C263" s="163"/>
      <c r="D263" s="163"/>
      <c r="E263" s="64"/>
      <c r="F263" s="65"/>
      <c r="G263" s="65"/>
      <c r="H263" s="65"/>
      <c r="I263" s="65"/>
      <c r="J263" s="65"/>
      <c r="K263" s="65"/>
      <c r="L263" s="65"/>
      <c r="M263" s="44"/>
      <c r="N263" s="44"/>
      <c r="O263" s="44"/>
      <c r="P263" s="17"/>
      <c r="Q263" s="138"/>
      <c r="R263" s="242" t="str">
        <f t="shared" ref="R263:R289" si="9">CONCATENATE(F263,J263)</f>
        <v/>
      </c>
      <c r="S263" s="243" t="str">
        <f>IF(G263&gt;=I263,"-","err")</f>
        <v>-</v>
      </c>
      <c r="T263" s="139"/>
      <c r="U263" s="139"/>
      <c r="V263" s="139"/>
      <c r="W263" s="139"/>
      <c r="X263" s="139"/>
    </row>
    <row r="264" spans="1:80" s="140" customFormat="1" ht="35.1" customHeight="1">
      <c r="A264" s="63"/>
      <c r="B264" s="163"/>
      <c r="C264" s="163"/>
      <c r="D264" s="163"/>
      <c r="E264" s="64"/>
      <c r="F264" s="65"/>
      <c r="G264" s="65"/>
      <c r="H264" s="65"/>
      <c r="I264" s="65"/>
      <c r="J264" s="65"/>
      <c r="K264" s="65"/>
      <c r="L264" s="65"/>
      <c r="M264" s="44"/>
      <c r="N264" s="44"/>
      <c r="O264" s="44"/>
      <c r="P264" s="17"/>
      <c r="Q264" s="138"/>
      <c r="R264" s="242" t="str">
        <f t="shared" si="9"/>
        <v/>
      </c>
      <c r="S264" s="243" t="str">
        <f>IF(G264&gt;=I264,"-","err")</f>
        <v>-</v>
      </c>
      <c r="T264" s="139"/>
      <c r="U264" s="139"/>
      <c r="V264" s="139"/>
      <c r="W264" s="139"/>
      <c r="X264" s="139"/>
    </row>
    <row r="265" spans="1:80" s="140" customFormat="1" ht="35.1" customHeight="1">
      <c r="A265" s="63"/>
      <c r="B265" s="163"/>
      <c r="C265" s="163"/>
      <c r="D265" s="163"/>
      <c r="E265" s="64"/>
      <c r="F265" s="65"/>
      <c r="G265" s="65"/>
      <c r="H265" s="65"/>
      <c r="I265" s="65"/>
      <c r="J265" s="65"/>
      <c r="K265" s="65"/>
      <c r="L265" s="65"/>
      <c r="M265" s="44"/>
      <c r="N265" s="44"/>
      <c r="O265" s="44"/>
      <c r="P265" s="17"/>
      <c r="Q265" s="138"/>
      <c r="R265" s="242" t="str">
        <f t="shared" si="9"/>
        <v/>
      </c>
      <c r="S265" s="243" t="str">
        <f>IF(G265&gt;=I265,"-","err")</f>
        <v>-</v>
      </c>
      <c r="T265" s="139"/>
      <c r="U265" s="139"/>
      <c r="V265" s="139"/>
      <c r="W265" s="139"/>
      <c r="X265" s="139"/>
    </row>
    <row r="266" spans="1:80" s="140" customFormat="1" ht="35.1" customHeight="1">
      <c r="A266" s="63"/>
      <c r="B266" s="163"/>
      <c r="C266" s="163"/>
      <c r="D266" s="163"/>
      <c r="E266" s="64"/>
      <c r="F266" s="65"/>
      <c r="G266" s="65"/>
      <c r="H266" s="65"/>
      <c r="I266" s="65"/>
      <c r="J266" s="65"/>
      <c r="K266" s="65"/>
      <c r="L266" s="65"/>
      <c r="M266" s="44"/>
      <c r="N266" s="44"/>
      <c r="O266" s="44"/>
      <c r="P266" s="17"/>
      <c r="Q266" s="138"/>
      <c r="R266" s="242" t="str">
        <f t="shared" si="9"/>
        <v/>
      </c>
      <c r="S266" s="243" t="str">
        <f>IF(G266&gt;=I266,"-","err")</f>
        <v>-</v>
      </c>
      <c r="T266" s="139"/>
      <c r="U266" s="139"/>
      <c r="V266" s="139"/>
      <c r="W266" s="139"/>
      <c r="X266" s="139"/>
    </row>
    <row r="267" spans="1:80" s="140" customFormat="1" ht="35.1" customHeight="1">
      <c r="A267" s="63"/>
      <c r="B267" s="163"/>
      <c r="C267" s="163"/>
      <c r="D267" s="163"/>
      <c r="E267" s="64"/>
      <c r="F267" s="65"/>
      <c r="G267" s="65"/>
      <c r="H267" s="65"/>
      <c r="I267" s="65"/>
      <c r="J267" s="65"/>
      <c r="K267" s="65"/>
      <c r="L267" s="65"/>
      <c r="M267" s="44"/>
      <c r="N267" s="44"/>
      <c r="O267" s="44"/>
      <c r="P267" s="17"/>
      <c r="Q267" s="138"/>
      <c r="R267" s="242" t="str">
        <f t="shared" si="9"/>
        <v/>
      </c>
      <c r="S267" s="243" t="str">
        <f>IF(G267&gt;=I267,"-","err")</f>
        <v>-</v>
      </c>
      <c r="T267" s="139"/>
      <c r="U267" s="139"/>
      <c r="V267" s="139"/>
      <c r="W267" s="139"/>
      <c r="X267" s="139"/>
    </row>
    <row r="268" spans="1:80" s="211" customFormat="1" ht="35.1" customHeight="1">
      <c r="A268" s="212" t="s">
        <v>41</v>
      </c>
      <c r="B268" s="213"/>
      <c r="C268" s="213"/>
      <c r="D268" s="213"/>
      <c r="E268" s="213"/>
      <c r="F268" s="214"/>
      <c r="G268" s="215"/>
      <c r="H268" s="215"/>
      <c r="I268" s="215">
        <f>SUM(I248:I267)</f>
        <v>0</v>
      </c>
      <c r="J268" s="214"/>
      <c r="K268" s="214"/>
      <c r="L268" s="214"/>
      <c r="M268" s="214"/>
      <c r="N268" s="214"/>
      <c r="O268" s="214"/>
      <c r="P268" s="216"/>
      <c r="Q268" s="138"/>
      <c r="R268" s="138" t="str">
        <f t="shared" si="9"/>
        <v/>
      </c>
      <c r="S268" s="139"/>
      <c r="T268" s="139"/>
      <c r="U268" s="139"/>
      <c r="V268" s="139"/>
      <c r="W268" s="139"/>
      <c r="X268" s="139"/>
      <c r="Y268" s="210"/>
      <c r="Z268" s="210"/>
      <c r="AA268" s="210"/>
      <c r="AB268" s="210"/>
      <c r="AC268" s="210"/>
      <c r="AD268" s="210"/>
      <c r="AE268" s="210"/>
      <c r="AF268" s="210"/>
      <c r="AG268" s="210"/>
      <c r="AH268" s="210"/>
      <c r="AI268" s="210"/>
      <c r="AJ268" s="210"/>
      <c r="AK268" s="210"/>
      <c r="AL268" s="210"/>
      <c r="AM268" s="210"/>
      <c r="AN268" s="210"/>
      <c r="AO268" s="210"/>
      <c r="AP268" s="210"/>
      <c r="AQ268" s="210"/>
      <c r="AR268" s="210"/>
      <c r="AS268" s="210"/>
      <c r="AT268" s="210"/>
      <c r="AU268" s="210"/>
      <c r="AV268" s="210"/>
      <c r="AW268" s="210"/>
      <c r="AX268" s="210"/>
      <c r="AY268" s="210"/>
      <c r="AZ268" s="210"/>
      <c r="BA268" s="210"/>
      <c r="BB268" s="210"/>
      <c r="BC268" s="210"/>
      <c r="BD268" s="210"/>
      <c r="BE268" s="210"/>
      <c r="BF268" s="210"/>
      <c r="BG268" s="210"/>
      <c r="BH268" s="210"/>
      <c r="BI268" s="210"/>
      <c r="BJ268" s="210"/>
      <c r="BK268" s="210"/>
      <c r="BL268" s="210"/>
      <c r="BM268" s="210"/>
      <c r="BN268" s="210"/>
      <c r="BO268" s="210"/>
      <c r="BP268" s="210"/>
      <c r="BQ268" s="210"/>
      <c r="BR268" s="210"/>
      <c r="BS268" s="210"/>
      <c r="BT268" s="210"/>
      <c r="BU268" s="210"/>
      <c r="BV268" s="210"/>
      <c r="BW268" s="210"/>
      <c r="BX268" s="210"/>
      <c r="BY268" s="210"/>
      <c r="BZ268" s="210"/>
      <c r="CA268" s="210"/>
      <c r="CB268" s="210"/>
    </row>
    <row r="269" spans="1:80" s="140" customFormat="1" ht="35.1" customHeight="1">
      <c r="A269" s="58"/>
      <c r="B269" s="161"/>
      <c r="C269" s="161"/>
      <c r="D269" s="161"/>
      <c r="E269" s="82"/>
      <c r="F269" s="59"/>
      <c r="G269" s="59"/>
      <c r="H269" s="59"/>
      <c r="I269" s="59"/>
      <c r="J269" s="59"/>
      <c r="K269" s="59"/>
      <c r="L269" s="59"/>
      <c r="M269" s="43"/>
      <c r="N269" s="43"/>
      <c r="O269" s="43"/>
      <c r="P269" s="16"/>
      <c r="Q269" s="138"/>
      <c r="R269" s="138" t="str">
        <f t="shared" si="9"/>
        <v/>
      </c>
      <c r="S269" s="139" t="str">
        <f t="shared" ref="S269:S288" si="10">IF(G269&gt;=I269,"-","err")</f>
        <v>-</v>
      </c>
      <c r="T269" s="139"/>
      <c r="U269" s="139"/>
      <c r="V269" s="139"/>
      <c r="W269" s="139"/>
      <c r="X269" s="139"/>
    </row>
    <row r="270" spans="1:80" s="140" customFormat="1" ht="35.1" customHeight="1">
      <c r="A270" s="92"/>
      <c r="B270" s="162"/>
      <c r="C270" s="162"/>
      <c r="D270" s="162"/>
      <c r="E270" s="96"/>
      <c r="F270" s="93"/>
      <c r="G270" s="93"/>
      <c r="H270" s="93"/>
      <c r="I270" s="93"/>
      <c r="J270" s="93"/>
      <c r="K270" s="93"/>
      <c r="L270" s="93"/>
      <c r="M270" s="94"/>
      <c r="N270" s="94"/>
      <c r="O270" s="94"/>
      <c r="P270" s="95"/>
      <c r="Q270" s="138"/>
      <c r="R270" s="138" t="str">
        <f t="shared" si="9"/>
        <v/>
      </c>
      <c r="S270" s="139" t="str">
        <f t="shared" si="10"/>
        <v>-</v>
      </c>
      <c r="T270" s="139"/>
      <c r="U270" s="139"/>
      <c r="V270" s="139"/>
      <c r="W270" s="139"/>
      <c r="X270" s="139"/>
    </row>
    <row r="271" spans="1:80" s="140" customFormat="1" ht="35.1" customHeight="1">
      <c r="A271" s="63"/>
      <c r="B271" s="163"/>
      <c r="C271" s="163"/>
      <c r="D271" s="163"/>
      <c r="E271" s="83"/>
      <c r="F271" s="65"/>
      <c r="G271" s="65"/>
      <c r="H271" s="65"/>
      <c r="I271" s="65"/>
      <c r="J271" s="65"/>
      <c r="K271" s="65"/>
      <c r="L271" s="65"/>
      <c r="M271" s="44"/>
      <c r="N271" s="44">
        <v>0</v>
      </c>
      <c r="O271" s="44">
        <v>0</v>
      </c>
      <c r="P271" s="17"/>
      <c r="Q271" s="138"/>
      <c r="R271" s="138" t="str">
        <f t="shared" si="9"/>
        <v/>
      </c>
      <c r="S271" s="139" t="str">
        <f t="shared" si="10"/>
        <v>-</v>
      </c>
      <c r="T271" s="139"/>
      <c r="U271" s="139"/>
      <c r="V271" s="139"/>
      <c r="W271" s="139"/>
      <c r="X271" s="139"/>
    </row>
    <row r="272" spans="1:80" s="140" customFormat="1" ht="35.1" customHeight="1">
      <c r="A272" s="63"/>
      <c r="B272" s="163"/>
      <c r="C272" s="163"/>
      <c r="D272" s="163"/>
      <c r="E272" s="84"/>
      <c r="F272" s="65"/>
      <c r="G272" s="65"/>
      <c r="H272" s="65"/>
      <c r="I272" s="65"/>
      <c r="J272" s="65"/>
      <c r="K272" s="65"/>
      <c r="L272" s="65"/>
      <c r="M272" s="44"/>
      <c r="N272" s="44">
        <v>0</v>
      </c>
      <c r="O272" s="44">
        <v>0</v>
      </c>
      <c r="P272" s="17"/>
      <c r="Q272" s="138"/>
      <c r="R272" s="138" t="str">
        <f t="shared" si="9"/>
        <v/>
      </c>
      <c r="S272" s="139" t="str">
        <f t="shared" si="10"/>
        <v>-</v>
      </c>
      <c r="T272" s="139"/>
      <c r="U272" s="139"/>
      <c r="V272" s="139"/>
      <c r="W272" s="139"/>
      <c r="X272" s="139"/>
    </row>
    <row r="273" spans="1:24" s="140" customFormat="1" ht="35.1" customHeight="1">
      <c r="A273" s="63"/>
      <c r="B273" s="163"/>
      <c r="C273" s="163"/>
      <c r="D273" s="163"/>
      <c r="E273" s="89"/>
      <c r="F273" s="65"/>
      <c r="G273" s="65"/>
      <c r="H273" s="65"/>
      <c r="I273" s="65"/>
      <c r="J273" s="65"/>
      <c r="K273" s="65"/>
      <c r="L273" s="65"/>
      <c r="M273" s="44"/>
      <c r="N273" s="44">
        <v>0</v>
      </c>
      <c r="O273" s="44">
        <v>0</v>
      </c>
      <c r="P273" s="17"/>
      <c r="Q273" s="138"/>
      <c r="R273" s="138" t="str">
        <f t="shared" si="9"/>
        <v/>
      </c>
      <c r="S273" s="139" t="str">
        <f t="shared" si="10"/>
        <v>-</v>
      </c>
      <c r="T273" s="139"/>
      <c r="U273" s="139"/>
      <c r="V273" s="139"/>
      <c r="W273" s="139"/>
      <c r="X273" s="139"/>
    </row>
    <row r="274" spans="1:24" s="140" customFormat="1" ht="35.1" customHeight="1">
      <c r="A274" s="63"/>
      <c r="B274" s="163"/>
      <c r="C274" s="163"/>
      <c r="D274" s="163"/>
      <c r="E274" s="89"/>
      <c r="F274" s="65"/>
      <c r="G274" s="65"/>
      <c r="H274" s="65"/>
      <c r="I274" s="65"/>
      <c r="J274" s="65"/>
      <c r="K274" s="65"/>
      <c r="L274" s="65"/>
      <c r="M274" s="44"/>
      <c r="N274" s="44">
        <v>0</v>
      </c>
      <c r="O274" s="44">
        <v>0</v>
      </c>
      <c r="P274" s="17"/>
      <c r="Q274" s="138"/>
      <c r="R274" s="138" t="str">
        <f t="shared" si="9"/>
        <v/>
      </c>
      <c r="S274" s="139" t="str">
        <f t="shared" si="10"/>
        <v>-</v>
      </c>
      <c r="T274" s="139"/>
      <c r="U274" s="139"/>
      <c r="V274" s="139"/>
      <c r="W274" s="139"/>
      <c r="X274" s="139"/>
    </row>
    <row r="275" spans="1:24" s="140" customFormat="1" ht="35.1" customHeight="1">
      <c r="A275" s="63"/>
      <c r="B275" s="163"/>
      <c r="C275" s="163"/>
      <c r="D275" s="163"/>
      <c r="E275" s="89"/>
      <c r="F275" s="65"/>
      <c r="G275" s="65"/>
      <c r="H275" s="65"/>
      <c r="I275" s="65"/>
      <c r="J275" s="65"/>
      <c r="K275" s="65"/>
      <c r="L275" s="65"/>
      <c r="M275" s="44"/>
      <c r="N275" s="44">
        <v>0</v>
      </c>
      <c r="O275" s="44">
        <v>0</v>
      </c>
      <c r="P275" s="17"/>
      <c r="Q275" s="138"/>
      <c r="R275" s="138" t="str">
        <f t="shared" si="9"/>
        <v/>
      </c>
      <c r="S275" s="139" t="str">
        <f t="shared" si="10"/>
        <v>-</v>
      </c>
      <c r="T275" s="139"/>
      <c r="U275" s="139"/>
      <c r="V275" s="139"/>
      <c r="W275" s="139"/>
      <c r="X275" s="139"/>
    </row>
    <row r="276" spans="1:24" s="140" customFormat="1" ht="35.1" customHeight="1">
      <c r="A276" s="63"/>
      <c r="B276" s="163"/>
      <c r="C276" s="163"/>
      <c r="D276" s="163"/>
      <c r="E276" s="89"/>
      <c r="F276" s="65"/>
      <c r="G276" s="65"/>
      <c r="H276" s="65"/>
      <c r="I276" s="65"/>
      <c r="J276" s="65"/>
      <c r="K276" s="65"/>
      <c r="L276" s="65"/>
      <c r="M276" s="44"/>
      <c r="N276" s="44"/>
      <c r="O276" s="44"/>
      <c r="P276" s="17"/>
      <c r="Q276" s="138"/>
      <c r="R276" s="138" t="str">
        <f t="shared" si="9"/>
        <v/>
      </c>
      <c r="S276" s="139" t="str">
        <f t="shared" si="10"/>
        <v>-</v>
      </c>
      <c r="T276" s="139"/>
      <c r="U276" s="139"/>
      <c r="V276" s="139"/>
      <c r="W276" s="139"/>
      <c r="X276" s="139"/>
    </row>
    <row r="277" spans="1:24" s="140" customFormat="1" ht="35.1" customHeight="1">
      <c r="A277" s="63"/>
      <c r="B277" s="163"/>
      <c r="C277" s="163"/>
      <c r="D277" s="163"/>
      <c r="E277" s="89"/>
      <c r="F277" s="65"/>
      <c r="G277" s="65"/>
      <c r="H277" s="65"/>
      <c r="I277" s="65"/>
      <c r="J277" s="65"/>
      <c r="K277" s="65"/>
      <c r="L277" s="65"/>
      <c r="M277" s="44"/>
      <c r="N277" s="44">
        <v>0</v>
      </c>
      <c r="O277" s="44">
        <v>0</v>
      </c>
      <c r="P277" s="17"/>
      <c r="Q277" s="138"/>
      <c r="R277" s="138" t="str">
        <f t="shared" si="9"/>
        <v/>
      </c>
      <c r="S277" s="139" t="str">
        <f t="shared" si="10"/>
        <v>-</v>
      </c>
      <c r="T277" s="139"/>
      <c r="U277" s="139"/>
      <c r="V277" s="139"/>
      <c r="W277" s="139"/>
      <c r="X277" s="139"/>
    </row>
    <row r="278" spans="1:24" s="140" customFormat="1" ht="35.1" customHeight="1">
      <c r="A278" s="63"/>
      <c r="B278" s="163"/>
      <c r="C278" s="163"/>
      <c r="D278" s="163"/>
      <c r="E278" s="89"/>
      <c r="F278" s="65"/>
      <c r="G278" s="65"/>
      <c r="H278" s="65"/>
      <c r="I278" s="65"/>
      <c r="J278" s="65"/>
      <c r="K278" s="65"/>
      <c r="L278" s="65"/>
      <c r="M278" s="44"/>
      <c r="N278" s="44">
        <v>0</v>
      </c>
      <c r="O278" s="44">
        <v>0</v>
      </c>
      <c r="P278" s="17"/>
      <c r="Q278" s="138"/>
      <c r="R278" s="138" t="str">
        <f t="shared" si="9"/>
        <v/>
      </c>
      <c r="S278" s="139" t="str">
        <f t="shared" si="10"/>
        <v>-</v>
      </c>
      <c r="T278" s="139"/>
      <c r="U278" s="139"/>
      <c r="V278" s="139"/>
      <c r="W278" s="139"/>
      <c r="X278" s="139"/>
    </row>
    <row r="279" spans="1:24" s="140" customFormat="1" ht="35.1" customHeight="1">
      <c r="A279" s="63"/>
      <c r="B279" s="163"/>
      <c r="C279" s="163"/>
      <c r="D279" s="163"/>
      <c r="E279" s="89"/>
      <c r="F279" s="65"/>
      <c r="G279" s="65"/>
      <c r="H279" s="65"/>
      <c r="I279" s="65"/>
      <c r="J279" s="65"/>
      <c r="K279" s="65"/>
      <c r="L279" s="65"/>
      <c r="M279" s="44"/>
      <c r="N279" s="44">
        <v>0</v>
      </c>
      <c r="O279" s="44">
        <v>0</v>
      </c>
      <c r="P279" s="17"/>
      <c r="Q279" s="138"/>
      <c r="R279" s="138" t="str">
        <f t="shared" si="9"/>
        <v/>
      </c>
      <c r="S279" s="139" t="str">
        <f t="shared" si="10"/>
        <v>-</v>
      </c>
      <c r="T279" s="139"/>
      <c r="U279" s="139"/>
      <c r="V279" s="139"/>
      <c r="W279" s="139"/>
      <c r="X279" s="139"/>
    </row>
    <row r="280" spans="1:24" s="140" customFormat="1" ht="35.1" customHeight="1">
      <c r="A280" s="63"/>
      <c r="B280" s="163"/>
      <c r="C280" s="163"/>
      <c r="D280" s="163"/>
      <c r="E280" s="64"/>
      <c r="F280" s="65"/>
      <c r="G280" s="65"/>
      <c r="H280" s="65"/>
      <c r="I280" s="65"/>
      <c r="J280" s="65"/>
      <c r="K280" s="65"/>
      <c r="L280" s="65"/>
      <c r="M280" s="44"/>
      <c r="N280" s="44"/>
      <c r="O280" s="44"/>
      <c r="P280" s="17"/>
      <c r="Q280" s="138"/>
      <c r="R280" s="138" t="str">
        <f t="shared" si="9"/>
        <v/>
      </c>
      <c r="S280" s="139" t="str">
        <f t="shared" si="10"/>
        <v>-</v>
      </c>
      <c r="T280" s="139"/>
      <c r="U280" s="139"/>
      <c r="V280" s="139"/>
      <c r="W280" s="139"/>
      <c r="X280" s="139"/>
    </row>
    <row r="281" spans="1:24" s="140" customFormat="1" ht="35.1" customHeight="1">
      <c r="A281" s="63"/>
      <c r="B281" s="163"/>
      <c r="C281" s="163"/>
      <c r="D281" s="163"/>
      <c r="E281" s="64"/>
      <c r="F281" s="65"/>
      <c r="G281" s="65"/>
      <c r="H281" s="65"/>
      <c r="I281" s="65"/>
      <c r="J281" s="65"/>
      <c r="K281" s="65"/>
      <c r="L281" s="65"/>
      <c r="M281" s="44"/>
      <c r="N281" s="44"/>
      <c r="O281" s="44"/>
      <c r="P281" s="17"/>
      <c r="Q281" s="138"/>
      <c r="R281" s="138" t="str">
        <f t="shared" si="9"/>
        <v/>
      </c>
      <c r="S281" s="139" t="str">
        <f t="shared" si="10"/>
        <v>-</v>
      </c>
      <c r="T281" s="139"/>
      <c r="U281" s="139"/>
      <c r="V281" s="139"/>
      <c r="W281" s="139"/>
      <c r="X281" s="139"/>
    </row>
    <row r="282" spans="1:24" s="140" customFormat="1" ht="35.1" customHeight="1">
      <c r="A282" s="63"/>
      <c r="B282" s="163"/>
      <c r="C282" s="163"/>
      <c r="D282" s="163"/>
      <c r="E282" s="64"/>
      <c r="F282" s="65"/>
      <c r="G282" s="65"/>
      <c r="H282" s="65"/>
      <c r="I282" s="65"/>
      <c r="J282" s="65"/>
      <c r="K282" s="65"/>
      <c r="L282" s="65"/>
      <c r="M282" s="44"/>
      <c r="N282" s="44"/>
      <c r="O282" s="44"/>
      <c r="P282" s="17"/>
      <c r="Q282" s="138"/>
      <c r="R282" s="138" t="str">
        <f t="shared" si="9"/>
        <v/>
      </c>
      <c r="S282" s="139" t="str">
        <f t="shared" si="10"/>
        <v>-</v>
      </c>
      <c r="T282" s="139"/>
      <c r="U282" s="139"/>
      <c r="V282" s="139"/>
      <c r="W282" s="139"/>
      <c r="X282" s="139"/>
    </row>
    <row r="283" spans="1:24" s="140" customFormat="1" ht="35.1" customHeight="1">
      <c r="A283" s="63"/>
      <c r="B283" s="163"/>
      <c r="C283" s="163"/>
      <c r="D283" s="163"/>
      <c r="E283" s="64"/>
      <c r="F283" s="65"/>
      <c r="G283" s="65"/>
      <c r="H283" s="65"/>
      <c r="I283" s="65"/>
      <c r="J283" s="65"/>
      <c r="K283" s="65"/>
      <c r="L283" s="65"/>
      <c r="M283" s="44"/>
      <c r="N283" s="44"/>
      <c r="O283" s="44"/>
      <c r="P283" s="17"/>
      <c r="Q283" s="138"/>
      <c r="R283" s="138" t="str">
        <f t="shared" si="9"/>
        <v/>
      </c>
      <c r="S283" s="139" t="str">
        <f t="shared" si="10"/>
        <v>-</v>
      </c>
      <c r="T283" s="139"/>
      <c r="U283" s="139"/>
      <c r="V283" s="139"/>
      <c r="W283" s="139"/>
      <c r="X283" s="139"/>
    </row>
    <row r="284" spans="1:24" s="140" customFormat="1" ht="35.1" customHeight="1">
      <c r="A284" s="63"/>
      <c r="B284" s="163"/>
      <c r="C284" s="163"/>
      <c r="D284" s="163"/>
      <c r="E284" s="64"/>
      <c r="F284" s="65"/>
      <c r="G284" s="65"/>
      <c r="H284" s="65"/>
      <c r="I284" s="65"/>
      <c r="J284" s="65"/>
      <c r="K284" s="65"/>
      <c r="L284" s="65"/>
      <c r="M284" s="44"/>
      <c r="N284" s="44"/>
      <c r="O284" s="44"/>
      <c r="P284" s="17"/>
      <c r="Q284" s="138"/>
      <c r="R284" s="138" t="str">
        <f t="shared" si="9"/>
        <v/>
      </c>
      <c r="S284" s="139" t="str">
        <f t="shared" si="10"/>
        <v>-</v>
      </c>
      <c r="T284" s="139"/>
      <c r="U284" s="139"/>
      <c r="V284" s="139"/>
      <c r="W284" s="139"/>
      <c r="X284" s="139"/>
    </row>
    <row r="285" spans="1:24" s="140" customFormat="1" ht="35.1" customHeight="1">
      <c r="A285" s="63"/>
      <c r="B285" s="163"/>
      <c r="C285" s="163"/>
      <c r="D285" s="163"/>
      <c r="E285" s="64"/>
      <c r="F285" s="65"/>
      <c r="G285" s="65"/>
      <c r="H285" s="65"/>
      <c r="I285" s="65"/>
      <c r="J285" s="65"/>
      <c r="K285" s="65"/>
      <c r="L285" s="65"/>
      <c r="M285" s="44"/>
      <c r="N285" s="44"/>
      <c r="O285" s="44"/>
      <c r="P285" s="17"/>
      <c r="Q285" s="138"/>
      <c r="R285" s="138" t="str">
        <f t="shared" si="9"/>
        <v/>
      </c>
      <c r="S285" s="139" t="str">
        <f t="shared" si="10"/>
        <v>-</v>
      </c>
      <c r="T285" s="139"/>
      <c r="U285" s="139"/>
      <c r="V285" s="139"/>
      <c r="W285" s="139"/>
      <c r="X285" s="139"/>
    </row>
    <row r="286" spans="1:24" s="140" customFormat="1" ht="35.1" customHeight="1">
      <c r="A286" s="63"/>
      <c r="B286" s="163"/>
      <c r="C286" s="163"/>
      <c r="D286" s="163"/>
      <c r="E286" s="64"/>
      <c r="F286" s="65"/>
      <c r="G286" s="65"/>
      <c r="H286" s="65"/>
      <c r="I286" s="65"/>
      <c r="J286" s="65"/>
      <c r="K286" s="65"/>
      <c r="L286" s="65"/>
      <c r="M286" s="44"/>
      <c r="N286" s="44"/>
      <c r="O286" s="44"/>
      <c r="P286" s="17"/>
      <c r="Q286" s="138"/>
      <c r="R286" s="138" t="str">
        <f t="shared" si="9"/>
        <v/>
      </c>
      <c r="S286" s="139" t="str">
        <f t="shared" si="10"/>
        <v>-</v>
      </c>
      <c r="T286" s="139"/>
      <c r="U286" s="139"/>
      <c r="V286" s="139"/>
      <c r="W286" s="139"/>
      <c r="X286" s="139"/>
    </row>
    <row r="287" spans="1:24" s="140" customFormat="1" ht="35.1" customHeight="1">
      <c r="A287" s="63"/>
      <c r="B287" s="163"/>
      <c r="C287" s="163"/>
      <c r="D287" s="163"/>
      <c r="E287" s="64"/>
      <c r="F287" s="65"/>
      <c r="G287" s="65"/>
      <c r="H287" s="65"/>
      <c r="I287" s="65"/>
      <c r="J287" s="65"/>
      <c r="K287" s="65"/>
      <c r="L287" s="65"/>
      <c r="M287" s="44"/>
      <c r="N287" s="44"/>
      <c r="O287" s="44"/>
      <c r="P287" s="17"/>
      <c r="Q287" s="138"/>
      <c r="R287" s="138" t="str">
        <f t="shared" si="9"/>
        <v/>
      </c>
      <c r="S287" s="139" t="str">
        <f t="shared" si="10"/>
        <v>-</v>
      </c>
      <c r="T287" s="139"/>
      <c r="U287" s="139"/>
      <c r="V287" s="139"/>
      <c r="W287" s="139"/>
      <c r="X287" s="139"/>
    </row>
    <row r="288" spans="1:24" s="140" customFormat="1" ht="35.1" customHeight="1">
      <c r="A288" s="63"/>
      <c r="B288" s="163"/>
      <c r="C288" s="163"/>
      <c r="D288" s="163"/>
      <c r="E288" s="64"/>
      <c r="F288" s="65"/>
      <c r="G288" s="65"/>
      <c r="H288" s="65"/>
      <c r="I288" s="65"/>
      <c r="J288" s="65"/>
      <c r="K288" s="65"/>
      <c r="L288" s="65"/>
      <c r="M288" s="44"/>
      <c r="N288" s="44"/>
      <c r="O288" s="44"/>
      <c r="P288" s="17"/>
      <c r="Q288" s="138"/>
      <c r="R288" s="138" t="str">
        <f t="shared" si="9"/>
        <v/>
      </c>
      <c r="S288" s="139" t="str">
        <f t="shared" si="10"/>
        <v>-</v>
      </c>
      <c r="T288" s="139"/>
      <c r="U288" s="139"/>
      <c r="V288" s="139"/>
      <c r="W288" s="139"/>
      <c r="X288" s="139"/>
    </row>
    <row r="289" spans="1:80" s="211" customFormat="1" ht="35.1" customHeight="1">
      <c r="A289" s="212" t="s">
        <v>41</v>
      </c>
      <c r="B289" s="213"/>
      <c r="C289" s="213"/>
      <c r="D289" s="213"/>
      <c r="E289" s="213"/>
      <c r="F289" s="214"/>
      <c r="G289" s="215"/>
      <c r="H289" s="215"/>
      <c r="I289" s="215">
        <f>SUM(I269:I288)</f>
        <v>0</v>
      </c>
      <c r="J289" s="214"/>
      <c r="K289" s="214"/>
      <c r="L289" s="214"/>
      <c r="M289" s="214"/>
      <c r="N289" s="214"/>
      <c r="O289" s="214"/>
      <c r="P289" s="216"/>
      <c r="Q289" s="138"/>
      <c r="R289" s="138" t="str">
        <f t="shared" si="9"/>
        <v/>
      </c>
      <c r="S289" s="139"/>
      <c r="T289" s="139"/>
      <c r="U289" s="139"/>
      <c r="V289" s="139"/>
      <c r="W289" s="139"/>
      <c r="X289" s="139"/>
      <c r="Y289" s="210"/>
      <c r="Z289" s="210"/>
      <c r="AA289" s="210"/>
      <c r="AB289" s="210"/>
      <c r="AC289" s="210"/>
      <c r="AD289" s="210"/>
      <c r="AE289" s="210"/>
      <c r="AF289" s="210"/>
      <c r="AG289" s="210"/>
      <c r="AH289" s="210"/>
      <c r="AI289" s="210"/>
      <c r="AJ289" s="210"/>
      <c r="AK289" s="210"/>
      <c r="AL289" s="210"/>
      <c r="AM289" s="210"/>
      <c r="AN289" s="210"/>
      <c r="AO289" s="210"/>
      <c r="AP289" s="210"/>
      <c r="AQ289" s="210"/>
      <c r="AR289" s="210"/>
      <c r="AS289" s="210"/>
      <c r="AT289" s="210"/>
      <c r="AU289" s="210"/>
      <c r="AV289" s="210"/>
      <c r="AW289" s="210"/>
      <c r="AX289" s="210"/>
      <c r="AY289" s="210"/>
      <c r="AZ289" s="210"/>
      <c r="BA289" s="210"/>
      <c r="BB289" s="210"/>
      <c r="BC289" s="210"/>
      <c r="BD289" s="210"/>
      <c r="BE289" s="210"/>
      <c r="BF289" s="210"/>
      <c r="BG289" s="210"/>
      <c r="BH289" s="210"/>
      <c r="BI289" s="210"/>
      <c r="BJ289" s="210"/>
      <c r="BK289" s="210"/>
      <c r="BL289" s="210"/>
      <c r="BM289" s="210"/>
      <c r="BN289" s="210"/>
      <c r="BO289" s="210"/>
      <c r="BP289" s="210"/>
      <c r="BQ289" s="210"/>
      <c r="BR289" s="210"/>
      <c r="BS289" s="210"/>
      <c r="BT289" s="210"/>
      <c r="BU289" s="210"/>
      <c r="BV289" s="210"/>
      <c r="BW289" s="210"/>
      <c r="BX289" s="210"/>
      <c r="BY289" s="210"/>
      <c r="BZ289" s="210"/>
      <c r="CA289" s="210"/>
      <c r="CB289" s="210"/>
    </row>
  </sheetData>
  <mergeCells count="13">
    <mergeCell ref="A43:A65"/>
    <mergeCell ref="C43:C65"/>
    <mergeCell ref="D43:D65"/>
    <mergeCell ref="A1:P1"/>
    <mergeCell ref="B4:B5"/>
    <mergeCell ref="D4:D5"/>
    <mergeCell ref="E4:E5"/>
    <mergeCell ref="F4:F5"/>
    <mergeCell ref="G4:G5"/>
    <mergeCell ref="H4:I5"/>
    <mergeCell ref="J4:K4"/>
    <mergeCell ref="L4:N4"/>
    <mergeCell ref="P4:P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29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A267"/>
  <sheetViews>
    <sheetView showGridLines="0" showZeros="0" view="pageBreakPreview" topLeftCell="C6" zoomScale="115" zoomScaleSheetLayoutView="115" workbookViewId="0">
      <selection activeCell="Q6" sqref="Q6"/>
    </sheetView>
  </sheetViews>
  <sheetFormatPr defaultRowHeight="11.25"/>
  <cols>
    <col min="1" max="1" width="3.77734375" style="50" hidden="1" customWidth="1"/>
    <col min="2" max="2" width="7.77734375" style="50" customWidth="1"/>
    <col min="3" max="3" width="4.21875" style="50" customWidth="1"/>
    <col min="4" max="5" width="7.77734375" style="50" customWidth="1"/>
    <col min="6" max="6" width="3.77734375" style="50" customWidth="1"/>
    <col min="7" max="7" width="7.77734375" style="50" customWidth="1"/>
    <col min="8" max="8" width="5.77734375" style="50" hidden="1" customWidth="1"/>
    <col min="9" max="9" width="7.21875" style="74" customWidth="1"/>
    <col min="10" max="10" width="7.77734375" style="50" customWidth="1"/>
    <col min="11" max="11" width="15.77734375" style="50" customWidth="1"/>
    <col min="12" max="12" width="12.77734375" style="50" customWidth="1"/>
    <col min="13" max="13" width="25.77734375" style="50" customWidth="1"/>
    <col min="14" max="14" width="10.77734375" style="50" customWidth="1"/>
    <col min="15" max="15" width="4.77734375" style="50" customWidth="1"/>
    <col min="16" max="17" width="8" style="75" customWidth="1"/>
    <col min="18" max="22" width="9.77734375" style="50" customWidth="1"/>
    <col min="23" max="23" width="10.77734375" style="50" customWidth="1"/>
    <col min="24" max="16384" width="8.88671875" style="50"/>
  </cols>
  <sheetData>
    <row r="1" spans="1:23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</row>
    <row r="2" spans="1:23" ht="15" customHeight="1">
      <c r="A2" s="46"/>
      <c r="B2" s="46"/>
      <c r="C2" s="46"/>
      <c r="D2" s="46"/>
      <c r="E2" s="46"/>
      <c r="F2" s="46"/>
      <c r="G2" s="46"/>
      <c r="H2" s="46"/>
      <c r="I2" s="47"/>
      <c r="J2" s="46"/>
      <c r="K2" s="46"/>
      <c r="M2" s="106"/>
      <c r="N2" s="48"/>
      <c r="O2" s="164" t="s">
        <v>125</v>
      </c>
      <c r="P2" s="49"/>
      <c r="Q2" s="49"/>
      <c r="R2" s="46"/>
      <c r="S2" s="46"/>
      <c r="T2" s="46"/>
      <c r="U2" s="46"/>
      <c r="V2" s="46"/>
      <c r="W2" s="46"/>
    </row>
    <row r="3" spans="1:23" ht="5.0999999999999996" customHeight="1">
      <c r="A3" s="46"/>
      <c r="B3" s="46"/>
      <c r="C3" s="46"/>
      <c r="D3" s="46"/>
      <c r="E3" s="46"/>
      <c r="F3" s="46"/>
      <c r="G3" s="46"/>
      <c r="H3" s="46"/>
      <c r="I3" s="47"/>
      <c r="J3" s="46"/>
      <c r="K3" s="46"/>
      <c r="L3" s="46"/>
      <c r="M3" s="46"/>
      <c r="N3" s="46"/>
      <c r="O3" s="134"/>
      <c r="P3" s="51"/>
      <c r="Q3" s="51"/>
      <c r="R3" s="46"/>
      <c r="S3" s="46"/>
      <c r="T3" s="46"/>
      <c r="U3" s="46"/>
      <c r="V3" s="46"/>
      <c r="W3" s="46"/>
    </row>
    <row r="4" spans="1:23" s="54" customFormat="1" ht="24.95" customHeight="1">
      <c r="A4" s="107" t="s">
        <v>33</v>
      </c>
      <c r="B4" s="367" t="s">
        <v>170</v>
      </c>
      <c r="C4" s="256" t="s">
        <v>306</v>
      </c>
      <c r="D4" s="367" t="s">
        <v>308</v>
      </c>
      <c r="E4" s="391" t="s">
        <v>59</v>
      </c>
      <c r="F4" s="367" t="s">
        <v>60</v>
      </c>
      <c r="G4" s="393" t="s">
        <v>64</v>
      </c>
      <c r="H4" s="400" t="s">
        <v>63</v>
      </c>
      <c r="I4" s="401"/>
      <c r="J4" s="369" t="s">
        <v>36</v>
      </c>
      <c r="K4" s="369"/>
      <c r="L4" s="369" t="s">
        <v>37</v>
      </c>
      <c r="M4" s="369"/>
      <c r="N4" s="369"/>
      <c r="O4" s="398" t="s">
        <v>27</v>
      </c>
      <c r="P4" s="52"/>
      <c r="Q4" s="52"/>
      <c r="R4" s="53"/>
      <c r="S4" s="53"/>
      <c r="T4" s="53"/>
      <c r="U4" s="53"/>
      <c r="V4" s="53"/>
      <c r="W4" s="53"/>
    </row>
    <row r="5" spans="1:23" s="54" customFormat="1" ht="24.95" customHeight="1">
      <c r="A5" s="108" t="s">
        <v>38</v>
      </c>
      <c r="B5" s="368"/>
      <c r="C5" s="257" t="s">
        <v>307</v>
      </c>
      <c r="D5" s="368"/>
      <c r="E5" s="392"/>
      <c r="F5" s="368"/>
      <c r="G5" s="394"/>
      <c r="H5" s="402"/>
      <c r="I5" s="403"/>
      <c r="J5" s="110" t="s">
        <v>39</v>
      </c>
      <c r="K5" s="109" t="s">
        <v>40</v>
      </c>
      <c r="L5" s="110" t="s">
        <v>39</v>
      </c>
      <c r="M5" s="110" t="s">
        <v>40</v>
      </c>
      <c r="N5" s="109" t="s">
        <v>54</v>
      </c>
      <c r="O5" s="399"/>
      <c r="P5" s="55"/>
      <c r="Q5" s="55"/>
      <c r="R5" s="56"/>
      <c r="S5" s="56" t="s">
        <v>65</v>
      </c>
      <c r="T5" s="56"/>
      <c r="U5" s="56"/>
      <c r="V5" s="56"/>
      <c r="W5" s="57"/>
    </row>
    <row r="6" spans="1:23" s="154" customFormat="1" ht="24.95" customHeight="1">
      <c r="A6" s="260">
        <v>1</v>
      </c>
      <c r="B6" s="147" t="s">
        <v>46</v>
      </c>
      <c r="C6" s="259">
        <v>1</v>
      </c>
      <c r="D6" s="259" t="s">
        <v>314</v>
      </c>
      <c r="E6" s="148" t="s">
        <v>299</v>
      </c>
      <c r="F6" s="149" t="s">
        <v>70</v>
      </c>
      <c r="G6" s="149">
        <v>33</v>
      </c>
      <c r="H6" s="149">
        <v>0</v>
      </c>
      <c r="I6" s="158">
        <v>7</v>
      </c>
      <c r="J6" s="149" t="s">
        <v>287</v>
      </c>
      <c r="K6" s="149"/>
      <c r="L6" s="150"/>
      <c r="M6" s="150"/>
      <c r="N6" s="150"/>
      <c r="O6" s="151" t="s">
        <v>127</v>
      </c>
      <c r="P6" s="152"/>
      <c r="Q6" s="242"/>
      <c r="R6" s="242" t="str">
        <f>CONCATENATE(F6,J6)</f>
        <v>임구*재</v>
      </c>
      <c r="S6" s="243" t="str">
        <f>IF(G6&gt;=I6,"-","err")</f>
        <v>-</v>
      </c>
      <c r="T6" s="153"/>
      <c r="U6" s="153"/>
      <c r="V6" s="153"/>
      <c r="W6" s="153"/>
    </row>
    <row r="7" spans="1:23" s="176" customFormat="1" ht="24.95" customHeight="1">
      <c r="A7" s="261">
        <v>2</v>
      </c>
      <c r="B7" s="168" t="s">
        <v>46</v>
      </c>
      <c r="C7" s="258">
        <v>2</v>
      </c>
      <c r="D7" s="258" t="s">
        <v>314</v>
      </c>
      <c r="E7" s="169" t="s">
        <v>71</v>
      </c>
      <c r="F7" s="170" t="s">
        <v>72</v>
      </c>
      <c r="G7" s="170">
        <v>198</v>
      </c>
      <c r="H7" s="170">
        <v>16</v>
      </c>
      <c r="I7" s="171">
        <v>54</v>
      </c>
      <c r="J7" s="170" t="s">
        <v>87</v>
      </c>
      <c r="K7" s="170" t="s">
        <v>88</v>
      </c>
      <c r="L7" s="172"/>
      <c r="M7" s="172"/>
      <c r="N7" s="172"/>
      <c r="O7" s="173"/>
      <c r="P7" s="174"/>
      <c r="Q7" s="242"/>
      <c r="R7" s="242" t="str">
        <f t="shared" ref="R7:R70" si="0">CONCATENATE(F7,J7)</f>
        <v>도국</v>
      </c>
      <c r="S7" s="243" t="str">
        <f t="shared" ref="S7:S70" si="1">IF(G7&gt;=I7,"-","err")</f>
        <v>-</v>
      </c>
      <c r="T7" s="175"/>
      <c r="U7" s="175"/>
      <c r="V7" s="175"/>
      <c r="W7" s="175"/>
    </row>
    <row r="8" spans="1:23" s="154" customFormat="1" ht="24.95" customHeight="1">
      <c r="A8" s="260">
        <v>3</v>
      </c>
      <c r="B8" s="147" t="s">
        <v>46</v>
      </c>
      <c r="C8" s="259">
        <v>3</v>
      </c>
      <c r="D8" s="259" t="s">
        <v>314</v>
      </c>
      <c r="E8" s="148" t="s">
        <v>281</v>
      </c>
      <c r="F8" s="149" t="s">
        <v>70</v>
      </c>
      <c r="G8" s="149">
        <v>5519</v>
      </c>
      <c r="H8" s="149">
        <v>0</v>
      </c>
      <c r="I8" s="159">
        <v>46</v>
      </c>
      <c r="J8" s="149" t="s">
        <v>150</v>
      </c>
      <c r="K8" s="149" t="s">
        <v>158</v>
      </c>
      <c r="L8" s="150"/>
      <c r="M8" s="150" t="s">
        <v>131</v>
      </c>
      <c r="N8" s="150"/>
      <c r="O8" s="151"/>
      <c r="P8" s="152"/>
      <c r="Q8" s="242"/>
      <c r="R8" s="242" t="str">
        <f t="shared" si="0"/>
        <v>임이*관</v>
      </c>
      <c r="S8" s="243" t="str">
        <f t="shared" si="1"/>
        <v>-</v>
      </c>
      <c r="T8" s="153"/>
      <c r="U8" s="153"/>
      <c r="V8" s="153"/>
      <c r="W8" s="153"/>
    </row>
    <row r="9" spans="1:23" s="176" customFormat="1" ht="24.95" customHeight="1">
      <c r="A9" s="258">
        <v>4</v>
      </c>
      <c r="B9" s="168" t="s">
        <v>46</v>
      </c>
      <c r="C9" s="258">
        <v>4</v>
      </c>
      <c r="D9" s="258" t="s">
        <v>314</v>
      </c>
      <c r="E9" s="169" t="s">
        <v>73</v>
      </c>
      <c r="F9" s="170" t="s">
        <v>72</v>
      </c>
      <c r="G9" s="170">
        <v>764</v>
      </c>
      <c r="H9" s="170">
        <v>764</v>
      </c>
      <c r="I9" s="249">
        <v>418</v>
      </c>
      <c r="J9" s="170" t="s">
        <v>87</v>
      </c>
      <c r="K9" s="170" t="s">
        <v>88</v>
      </c>
      <c r="L9" s="172"/>
      <c r="M9" s="172"/>
      <c r="N9" s="172"/>
      <c r="O9" s="173"/>
      <c r="P9" s="174"/>
      <c r="Q9" s="242"/>
      <c r="R9" s="242" t="str">
        <f t="shared" si="0"/>
        <v>도국</v>
      </c>
      <c r="S9" s="243" t="str">
        <f t="shared" si="1"/>
        <v>-</v>
      </c>
      <c r="T9" s="175"/>
      <c r="U9" s="175"/>
      <c r="V9" s="175"/>
      <c r="W9" s="175"/>
    </row>
    <row r="10" spans="1:23" s="176" customFormat="1" ht="24.95" customHeight="1">
      <c r="A10" s="258">
        <v>5</v>
      </c>
      <c r="B10" s="168" t="s">
        <v>46</v>
      </c>
      <c r="C10" s="258">
        <v>5</v>
      </c>
      <c r="D10" s="258" t="s">
        <v>314</v>
      </c>
      <c r="E10" s="169" t="s">
        <v>74</v>
      </c>
      <c r="F10" s="170" t="s">
        <v>72</v>
      </c>
      <c r="G10" s="170">
        <v>90</v>
      </c>
      <c r="H10" s="170">
        <v>90</v>
      </c>
      <c r="I10" s="249">
        <v>90</v>
      </c>
      <c r="J10" s="170" t="s">
        <v>89</v>
      </c>
      <c r="K10" s="170" t="s">
        <v>90</v>
      </c>
      <c r="L10" s="172"/>
      <c r="M10" s="172"/>
      <c r="N10" s="172"/>
      <c r="O10" s="173"/>
      <c r="P10" s="174"/>
      <c r="Q10" s="242"/>
      <c r="R10" s="242" t="str">
        <f t="shared" si="0"/>
        <v>도공</v>
      </c>
      <c r="S10" s="243" t="str">
        <f t="shared" si="1"/>
        <v>-</v>
      </c>
      <c r="T10" s="175"/>
      <c r="U10" s="175"/>
      <c r="V10" s="175"/>
      <c r="W10" s="175"/>
    </row>
    <row r="11" spans="1:23" s="176" customFormat="1" ht="24.95" customHeight="1">
      <c r="A11" s="258">
        <v>6</v>
      </c>
      <c r="B11" s="168" t="s">
        <v>46</v>
      </c>
      <c r="C11" s="258">
        <v>6</v>
      </c>
      <c r="D11" s="258" t="s">
        <v>314</v>
      </c>
      <c r="E11" s="169" t="s">
        <v>75</v>
      </c>
      <c r="F11" s="170" t="s">
        <v>72</v>
      </c>
      <c r="G11" s="170">
        <v>1518</v>
      </c>
      <c r="H11" s="170">
        <v>744</v>
      </c>
      <c r="I11" s="249">
        <v>1408</v>
      </c>
      <c r="J11" s="170" t="s">
        <v>87</v>
      </c>
      <c r="K11" s="170" t="s">
        <v>88</v>
      </c>
      <c r="L11" s="250"/>
      <c r="M11" s="250"/>
      <c r="N11" s="250"/>
      <c r="O11" s="173"/>
      <c r="P11" s="174"/>
      <c r="Q11" s="242"/>
      <c r="R11" s="242" t="str">
        <f t="shared" si="0"/>
        <v>도국</v>
      </c>
      <c r="S11" s="243" t="str">
        <f t="shared" si="1"/>
        <v>-</v>
      </c>
      <c r="T11" s="175"/>
      <c r="U11" s="175"/>
      <c r="V11" s="175"/>
      <c r="W11" s="175"/>
    </row>
    <row r="12" spans="1:23" s="154" customFormat="1" ht="24.95" customHeight="1">
      <c r="A12" s="260">
        <v>7</v>
      </c>
      <c r="B12" s="147" t="s">
        <v>46</v>
      </c>
      <c r="C12" s="259">
        <v>7</v>
      </c>
      <c r="D12" s="259" t="s">
        <v>314</v>
      </c>
      <c r="E12" s="148" t="s">
        <v>300</v>
      </c>
      <c r="F12" s="149" t="s">
        <v>72</v>
      </c>
      <c r="G12" s="149">
        <v>152</v>
      </c>
      <c r="H12" s="149">
        <v>152</v>
      </c>
      <c r="I12" s="149">
        <v>10</v>
      </c>
      <c r="J12" s="149" t="s">
        <v>143</v>
      </c>
      <c r="K12" s="149" t="s">
        <v>144</v>
      </c>
      <c r="L12" s="150"/>
      <c r="M12" s="150"/>
      <c r="N12" s="150"/>
      <c r="O12" s="151" t="s">
        <v>127</v>
      </c>
      <c r="P12" s="152"/>
      <c r="Q12" s="242"/>
      <c r="R12" s="242" t="str">
        <f t="shared" si="0"/>
        <v>도방*준</v>
      </c>
      <c r="S12" s="243" t="str">
        <f t="shared" si="1"/>
        <v>-</v>
      </c>
      <c r="T12" s="153"/>
      <c r="U12" s="153"/>
      <c r="V12" s="153"/>
      <c r="W12" s="153"/>
    </row>
    <row r="13" spans="1:23" s="176" customFormat="1" ht="24.95" customHeight="1">
      <c r="A13" s="258">
        <v>8</v>
      </c>
      <c r="B13" s="168" t="s">
        <v>46</v>
      </c>
      <c r="C13" s="258">
        <v>8</v>
      </c>
      <c r="D13" s="258" t="s">
        <v>314</v>
      </c>
      <c r="E13" s="169" t="s">
        <v>76</v>
      </c>
      <c r="F13" s="170" t="s">
        <v>72</v>
      </c>
      <c r="G13" s="170">
        <v>77</v>
      </c>
      <c r="H13" s="170">
        <v>77</v>
      </c>
      <c r="I13" s="170">
        <v>41</v>
      </c>
      <c r="J13" s="170" t="s">
        <v>89</v>
      </c>
      <c r="K13" s="170" t="s">
        <v>91</v>
      </c>
      <c r="L13" s="172"/>
      <c r="M13" s="172"/>
      <c r="N13" s="172"/>
      <c r="O13" s="173"/>
      <c r="P13" s="174"/>
      <c r="Q13" s="242"/>
      <c r="R13" s="242" t="str">
        <f t="shared" si="0"/>
        <v>도공</v>
      </c>
      <c r="S13" s="243" t="str">
        <f t="shared" si="1"/>
        <v>-</v>
      </c>
      <c r="T13" s="175"/>
      <c r="U13" s="175"/>
      <c r="V13" s="175"/>
      <c r="W13" s="175"/>
    </row>
    <row r="14" spans="1:23" s="154" customFormat="1" ht="24.95" customHeight="1">
      <c r="A14" s="260">
        <v>9</v>
      </c>
      <c r="B14" s="147" t="s">
        <v>46</v>
      </c>
      <c r="C14" s="259">
        <v>9</v>
      </c>
      <c r="D14" s="259" t="s">
        <v>314</v>
      </c>
      <c r="E14" s="148" t="s">
        <v>301</v>
      </c>
      <c r="F14" s="149" t="s">
        <v>5</v>
      </c>
      <c r="G14" s="149">
        <v>373</v>
      </c>
      <c r="H14" s="149">
        <v>0</v>
      </c>
      <c r="I14" s="149">
        <v>60</v>
      </c>
      <c r="J14" s="149" t="s">
        <v>153</v>
      </c>
      <c r="K14" s="149" t="s">
        <v>151</v>
      </c>
      <c r="L14" s="150"/>
      <c r="M14" s="150"/>
      <c r="N14" s="150"/>
      <c r="O14" s="151"/>
      <c r="P14" s="152"/>
      <c r="Q14" s="242"/>
      <c r="R14" s="242" t="str">
        <f t="shared" si="0"/>
        <v>전김*섭</v>
      </c>
      <c r="S14" s="243" t="str">
        <f t="shared" si="1"/>
        <v>-</v>
      </c>
      <c r="T14" s="153"/>
      <c r="U14" s="153"/>
      <c r="V14" s="153"/>
      <c r="W14" s="153"/>
    </row>
    <row r="15" spans="1:23" s="154" customFormat="1" ht="24.95" customHeight="1">
      <c r="A15" s="260">
        <v>10</v>
      </c>
      <c r="B15" s="147" t="s">
        <v>46</v>
      </c>
      <c r="C15" s="259">
        <v>10</v>
      </c>
      <c r="D15" s="259" t="s">
        <v>314</v>
      </c>
      <c r="E15" s="148" t="s">
        <v>302</v>
      </c>
      <c r="F15" s="149" t="s">
        <v>6</v>
      </c>
      <c r="G15" s="149">
        <v>111</v>
      </c>
      <c r="H15" s="149">
        <v>0</v>
      </c>
      <c r="I15" s="149">
        <v>59</v>
      </c>
      <c r="J15" s="149" t="s">
        <v>154</v>
      </c>
      <c r="K15" s="157" t="s">
        <v>159</v>
      </c>
      <c r="L15" s="155"/>
      <c r="M15" s="150"/>
      <c r="N15" s="150"/>
      <c r="O15" s="151"/>
      <c r="P15" s="152"/>
      <c r="Q15" s="242"/>
      <c r="R15" s="242" t="str">
        <f t="shared" si="0"/>
        <v>답구*철</v>
      </c>
      <c r="S15" s="243" t="str">
        <f t="shared" si="1"/>
        <v>-</v>
      </c>
      <c r="T15" s="153"/>
      <c r="U15" s="153"/>
      <c r="V15" s="153"/>
      <c r="W15" s="153"/>
    </row>
    <row r="16" spans="1:23" s="154" customFormat="1" ht="24.95" customHeight="1">
      <c r="A16" s="260">
        <v>11</v>
      </c>
      <c r="B16" s="147" t="s">
        <v>46</v>
      </c>
      <c r="C16" s="259">
        <v>11</v>
      </c>
      <c r="D16" s="259" t="s">
        <v>314</v>
      </c>
      <c r="E16" s="156" t="s">
        <v>303</v>
      </c>
      <c r="F16" s="149" t="s">
        <v>77</v>
      </c>
      <c r="G16" s="149">
        <v>194</v>
      </c>
      <c r="H16" s="149">
        <v>0</v>
      </c>
      <c r="I16" s="149">
        <v>7</v>
      </c>
      <c r="J16" s="149" t="s">
        <v>155</v>
      </c>
      <c r="K16" s="149" t="s">
        <v>156</v>
      </c>
      <c r="L16" s="150" t="s">
        <v>130</v>
      </c>
      <c r="M16" s="150" t="s">
        <v>147</v>
      </c>
      <c r="N16" s="150" t="s">
        <v>129</v>
      </c>
      <c r="O16" s="151"/>
      <c r="P16" s="152"/>
      <c r="Q16" s="242"/>
      <c r="R16" s="242" t="str">
        <f t="shared" si="0"/>
        <v>대차*례</v>
      </c>
      <c r="S16" s="243" t="str">
        <f t="shared" si="1"/>
        <v>-</v>
      </c>
      <c r="T16" s="153"/>
      <c r="U16" s="153"/>
      <c r="V16" s="153"/>
      <c r="W16" s="153"/>
    </row>
    <row r="17" spans="1:79" s="176" customFormat="1" ht="24.95" customHeight="1">
      <c r="A17" s="258">
        <v>12</v>
      </c>
      <c r="B17" s="168" t="s">
        <v>46</v>
      </c>
      <c r="C17" s="258">
        <v>12</v>
      </c>
      <c r="D17" s="258" t="s">
        <v>314</v>
      </c>
      <c r="E17" s="220" t="s">
        <v>78</v>
      </c>
      <c r="F17" s="170" t="s">
        <v>79</v>
      </c>
      <c r="G17" s="170">
        <v>74</v>
      </c>
      <c r="H17" s="170">
        <v>0</v>
      </c>
      <c r="I17" s="170">
        <v>47</v>
      </c>
      <c r="J17" s="170" t="s">
        <v>87</v>
      </c>
      <c r="K17" s="170" t="s">
        <v>88</v>
      </c>
      <c r="L17" s="172"/>
      <c r="M17" s="172"/>
      <c r="N17" s="172"/>
      <c r="O17" s="173"/>
      <c r="P17" s="174"/>
      <c r="Q17" s="242"/>
      <c r="R17" s="242" t="str">
        <f t="shared" si="0"/>
        <v>유국</v>
      </c>
      <c r="S17" s="243" t="str">
        <f t="shared" si="1"/>
        <v>-</v>
      </c>
      <c r="T17" s="175"/>
      <c r="U17" s="175"/>
      <c r="V17" s="175"/>
      <c r="W17" s="175"/>
    </row>
    <row r="18" spans="1:79" s="253" customFormat="1" ht="24.95" customHeight="1">
      <c r="A18" s="258">
        <v>13</v>
      </c>
      <c r="B18" s="168" t="s">
        <v>46</v>
      </c>
      <c r="C18" s="258">
        <v>13</v>
      </c>
      <c r="D18" s="258" t="s">
        <v>314</v>
      </c>
      <c r="E18" s="169" t="s">
        <v>80</v>
      </c>
      <c r="F18" s="170" t="s">
        <v>72</v>
      </c>
      <c r="G18" s="170">
        <v>78</v>
      </c>
      <c r="H18" s="170">
        <v>78</v>
      </c>
      <c r="I18" s="170">
        <v>32</v>
      </c>
      <c r="J18" s="170" t="s">
        <v>87</v>
      </c>
      <c r="K18" s="170" t="s">
        <v>88</v>
      </c>
      <c r="L18" s="172"/>
      <c r="M18" s="172"/>
      <c r="N18" s="172"/>
      <c r="O18" s="173"/>
      <c r="P18" s="251"/>
      <c r="Q18" s="242"/>
      <c r="R18" s="242" t="str">
        <f t="shared" si="0"/>
        <v>도국</v>
      </c>
      <c r="S18" s="243" t="str">
        <f t="shared" si="1"/>
        <v>-</v>
      </c>
      <c r="T18" s="153"/>
      <c r="U18" s="153"/>
      <c r="V18" s="153"/>
      <c r="W18" s="252"/>
    </row>
    <row r="19" spans="1:79" s="176" customFormat="1" ht="24.95" customHeight="1">
      <c r="A19" s="258">
        <v>14</v>
      </c>
      <c r="B19" s="168" t="s">
        <v>46</v>
      </c>
      <c r="C19" s="258">
        <v>14</v>
      </c>
      <c r="D19" s="258" t="s">
        <v>314</v>
      </c>
      <c r="E19" s="220" t="s">
        <v>81</v>
      </c>
      <c r="F19" s="170" t="s">
        <v>82</v>
      </c>
      <c r="G19" s="170">
        <v>10750</v>
      </c>
      <c r="H19" s="170">
        <v>36</v>
      </c>
      <c r="I19" s="170">
        <v>487</v>
      </c>
      <c r="J19" s="170" t="s">
        <v>87</v>
      </c>
      <c r="K19" s="170" t="s">
        <v>88</v>
      </c>
      <c r="L19" s="172"/>
      <c r="M19" s="172"/>
      <c r="N19" s="172"/>
      <c r="O19" s="173"/>
      <c r="P19" s="174"/>
      <c r="Q19" s="242"/>
      <c r="R19" s="242" t="str">
        <f t="shared" si="0"/>
        <v>구국</v>
      </c>
      <c r="S19" s="243" t="str">
        <f t="shared" si="1"/>
        <v>-</v>
      </c>
      <c r="T19" s="175"/>
      <c r="U19" s="175"/>
      <c r="V19" s="175"/>
      <c r="W19" s="175"/>
    </row>
    <row r="20" spans="1:79" s="154" customFormat="1" ht="24.95" customHeight="1">
      <c r="A20" s="258">
        <v>15</v>
      </c>
      <c r="B20" s="168" t="s">
        <v>46</v>
      </c>
      <c r="C20" s="258">
        <v>15</v>
      </c>
      <c r="D20" s="258" t="s">
        <v>314</v>
      </c>
      <c r="E20" s="220" t="s">
        <v>83</v>
      </c>
      <c r="F20" s="170" t="s">
        <v>72</v>
      </c>
      <c r="G20" s="170">
        <v>5929</v>
      </c>
      <c r="H20" s="170">
        <v>0</v>
      </c>
      <c r="I20" s="170">
        <v>187</v>
      </c>
      <c r="J20" s="170" t="s">
        <v>87</v>
      </c>
      <c r="K20" s="170" t="s">
        <v>88</v>
      </c>
      <c r="L20" s="172"/>
      <c r="M20" s="172"/>
      <c r="N20" s="172"/>
      <c r="O20" s="173"/>
      <c r="P20" s="152"/>
      <c r="Q20" s="242"/>
      <c r="R20" s="242" t="str">
        <f t="shared" si="0"/>
        <v>도국</v>
      </c>
      <c r="S20" s="243" t="str">
        <f t="shared" si="1"/>
        <v>-</v>
      </c>
      <c r="T20" s="153"/>
      <c r="U20" s="153"/>
      <c r="V20" s="153"/>
      <c r="W20" s="153"/>
    </row>
    <row r="21" spans="1:79" s="176" customFormat="1" ht="24.95" customHeight="1">
      <c r="A21" s="258">
        <v>16</v>
      </c>
      <c r="B21" s="168" t="s">
        <v>46</v>
      </c>
      <c r="C21" s="258">
        <v>16</v>
      </c>
      <c r="D21" s="258" t="s">
        <v>314</v>
      </c>
      <c r="E21" s="220" t="s">
        <v>84</v>
      </c>
      <c r="F21" s="170" t="s">
        <v>72</v>
      </c>
      <c r="G21" s="170">
        <v>1858</v>
      </c>
      <c r="H21" s="170">
        <v>0</v>
      </c>
      <c r="I21" s="170">
        <v>10</v>
      </c>
      <c r="J21" s="170" t="s">
        <v>87</v>
      </c>
      <c r="K21" s="170" t="s">
        <v>88</v>
      </c>
      <c r="L21" s="172"/>
      <c r="M21" s="172"/>
      <c r="N21" s="172"/>
      <c r="O21" s="173"/>
      <c r="P21" s="174"/>
      <c r="Q21" s="242"/>
      <c r="R21" s="242" t="str">
        <f t="shared" si="0"/>
        <v>도국</v>
      </c>
      <c r="S21" s="243" t="str">
        <f t="shared" si="1"/>
        <v>-</v>
      </c>
      <c r="T21" s="175"/>
      <c r="U21" s="175"/>
      <c r="V21" s="175"/>
      <c r="W21" s="175"/>
    </row>
    <row r="22" spans="1:79" s="154" customFormat="1" ht="24.95" customHeight="1">
      <c r="A22" s="260">
        <v>17</v>
      </c>
      <c r="B22" s="147" t="s">
        <v>46</v>
      </c>
      <c r="C22" s="259">
        <v>17</v>
      </c>
      <c r="D22" s="259" t="s">
        <v>314</v>
      </c>
      <c r="E22" s="156" t="s">
        <v>304</v>
      </c>
      <c r="F22" s="149" t="s">
        <v>6</v>
      </c>
      <c r="G22" s="149">
        <v>1531</v>
      </c>
      <c r="H22" s="149">
        <v>0</v>
      </c>
      <c r="I22" s="149">
        <v>410</v>
      </c>
      <c r="J22" s="149" t="s">
        <v>87</v>
      </c>
      <c r="K22" s="149" t="s">
        <v>92</v>
      </c>
      <c r="L22" s="150"/>
      <c r="M22" s="150"/>
      <c r="N22" s="150"/>
      <c r="O22" s="151"/>
      <c r="P22" s="152"/>
      <c r="Q22" s="242"/>
      <c r="R22" s="242" t="str">
        <f t="shared" si="0"/>
        <v>답국</v>
      </c>
      <c r="S22" s="243" t="str">
        <f t="shared" si="1"/>
        <v>-</v>
      </c>
      <c r="T22" s="153"/>
      <c r="U22" s="153"/>
      <c r="V22" s="153"/>
      <c r="W22" s="153"/>
    </row>
    <row r="23" spans="1:79" s="176" customFormat="1" ht="24.95" customHeight="1">
      <c r="A23" s="258">
        <v>18</v>
      </c>
      <c r="B23" s="168" t="s">
        <v>46</v>
      </c>
      <c r="C23" s="258">
        <v>18</v>
      </c>
      <c r="D23" s="258" t="s">
        <v>314</v>
      </c>
      <c r="E23" s="220" t="s">
        <v>85</v>
      </c>
      <c r="F23" s="170" t="s">
        <v>82</v>
      </c>
      <c r="G23" s="170">
        <v>939</v>
      </c>
      <c r="H23" s="170">
        <v>0</v>
      </c>
      <c r="I23" s="170">
        <v>939</v>
      </c>
      <c r="J23" s="170" t="s">
        <v>87</v>
      </c>
      <c r="K23" s="170" t="s">
        <v>88</v>
      </c>
      <c r="L23" s="172"/>
      <c r="M23" s="172"/>
      <c r="N23" s="172"/>
      <c r="O23" s="173"/>
      <c r="P23" s="174"/>
      <c r="Q23" s="242"/>
      <c r="R23" s="242" t="str">
        <f t="shared" si="0"/>
        <v>구국</v>
      </c>
      <c r="S23" s="243" t="str">
        <f t="shared" si="1"/>
        <v>-</v>
      </c>
      <c r="T23" s="175"/>
      <c r="U23" s="175"/>
      <c r="V23" s="175"/>
      <c r="W23" s="175"/>
    </row>
    <row r="24" spans="1:79" s="176" customFormat="1" ht="24.95" customHeight="1">
      <c r="A24" s="258">
        <v>19</v>
      </c>
      <c r="B24" s="168" t="s">
        <v>46</v>
      </c>
      <c r="C24" s="258">
        <v>19</v>
      </c>
      <c r="D24" s="258" t="s">
        <v>314</v>
      </c>
      <c r="E24" s="220" t="s">
        <v>86</v>
      </c>
      <c r="F24" s="170" t="s">
        <v>72</v>
      </c>
      <c r="G24" s="170">
        <v>1919</v>
      </c>
      <c r="H24" s="170">
        <v>0</v>
      </c>
      <c r="I24" s="170">
        <v>51</v>
      </c>
      <c r="J24" s="170" t="s">
        <v>87</v>
      </c>
      <c r="K24" s="170" t="s">
        <v>88</v>
      </c>
      <c r="L24" s="172"/>
      <c r="M24" s="172"/>
      <c r="N24" s="172"/>
      <c r="O24" s="173"/>
      <c r="P24" s="174"/>
      <c r="Q24" s="242"/>
      <c r="R24" s="242" t="str">
        <f t="shared" si="0"/>
        <v>도국</v>
      </c>
      <c r="S24" s="243" t="str">
        <f t="shared" si="1"/>
        <v>-</v>
      </c>
      <c r="T24" s="175"/>
      <c r="U24" s="175"/>
      <c r="V24" s="175"/>
      <c r="W24" s="175"/>
    </row>
    <row r="25" spans="1:79" s="154" customFormat="1" ht="24.95" customHeight="1">
      <c r="A25" s="260">
        <v>20</v>
      </c>
      <c r="B25" s="147" t="s">
        <v>46</v>
      </c>
      <c r="C25" s="259">
        <v>20</v>
      </c>
      <c r="D25" s="259" t="s">
        <v>314</v>
      </c>
      <c r="E25" s="156" t="s">
        <v>305</v>
      </c>
      <c r="F25" s="149" t="s">
        <v>6</v>
      </c>
      <c r="G25" s="149">
        <v>3378</v>
      </c>
      <c r="H25" s="149">
        <v>0</v>
      </c>
      <c r="I25" s="149">
        <v>460</v>
      </c>
      <c r="J25" s="149" t="s">
        <v>164</v>
      </c>
      <c r="K25" s="149" t="s">
        <v>151</v>
      </c>
      <c r="L25" s="150"/>
      <c r="M25" s="150"/>
      <c r="N25" s="150"/>
      <c r="O25" s="151"/>
      <c r="P25" s="152"/>
      <c r="Q25" s="242"/>
      <c r="R25" s="242" t="str">
        <f t="shared" si="0"/>
        <v>답구*회</v>
      </c>
      <c r="S25" s="243" t="str">
        <f t="shared" si="1"/>
        <v>-</v>
      </c>
      <c r="T25" s="153"/>
      <c r="U25" s="153"/>
      <c r="V25" s="153"/>
      <c r="W25" s="153"/>
    </row>
    <row r="26" spans="1:79" s="176" customFormat="1" ht="24.95" customHeight="1">
      <c r="A26" s="258">
        <v>4</v>
      </c>
      <c r="B26" s="168" t="s">
        <v>46</v>
      </c>
      <c r="C26" s="258">
        <v>21</v>
      </c>
      <c r="D26" s="258" t="s">
        <v>314</v>
      </c>
      <c r="E26" s="169" t="s">
        <v>163</v>
      </c>
      <c r="F26" s="170" t="s">
        <v>315</v>
      </c>
      <c r="G26" s="170">
        <v>3010</v>
      </c>
      <c r="H26" s="170">
        <v>764</v>
      </c>
      <c r="I26" s="249">
        <v>1</v>
      </c>
      <c r="J26" s="170" t="s">
        <v>316</v>
      </c>
      <c r="K26" s="170" t="s">
        <v>317</v>
      </c>
      <c r="L26" s="172"/>
      <c r="M26" s="172"/>
      <c r="N26" s="172"/>
      <c r="O26" s="173"/>
      <c r="P26" s="174"/>
      <c r="Q26" s="242"/>
      <c r="R26" s="242" t="str">
        <f t="shared" si="0"/>
        <v>임이*준</v>
      </c>
      <c r="S26" s="243" t="str">
        <f t="shared" si="1"/>
        <v>-</v>
      </c>
      <c r="T26" s="175"/>
      <c r="U26" s="175"/>
      <c r="V26" s="175"/>
      <c r="W26" s="175"/>
    </row>
    <row r="27" spans="1:79" s="62" customFormat="1" ht="24.95" customHeight="1">
      <c r="A27" s="111"/>
      <c r="B27" s="111"/>
      <c r="C27" s="111"/>
      <c r="D27" s="111"/>
      <c r="E27" s="130"/>
      <c r="F27" s="112"/>
      <c r="G27" s="112"/>
      <c r="H27" s="112"/>
      <c r="I27" s="112"/>
      <c r="J27" s="112"/>
      <c r="K27" s="112"/>
      <c r="L27" s="114"/>
      <c r="M27" s="114"/>
      <c r="N27" s="114"/>
      <c r="O27" s="115"/>
      <c r="P27" s="60"/>
      <c r="Q27" s="242"/>
      <c r="R27" s="242" t="str">
        <f t="shared" si="0"/>
        <v/>
      </c>
      <c r="S27" s="243" t="str">
        <f t="shared" si="1"/>
        <v>-</v>
      </c>
      <c r="T27" s="61"/>
      <c r="U27" s="61"/>
      <c r="V27" s="61"/>
      <c r="W27" s="61"/>
    </row>
    <row r="28" spans="1:79" s="62" customFormat="1" ht="24.95" customHeight="1">
      <c r="A28" s="111"/>
      <c r="B28" s="111"/>
      <c r="C28" s="111"/>
      <c r="D28" s="111"/>
      <c r="E28" s="130"/>
      <c r="F28" s="112"/>
      <c r="G28" s="112"/>
      <c r="H28" s="112"/>
      <c r="I28" s="112"/>
      <c r="J28" s="112"/>
      <c r="K28" s="112"/>
      <c r="L28" s="114"/>
      <c r="M28" s="114"/>
      <c r="N28" s="114"/>
      <c r="O28" s="115"/>
      <c r="P28" s="60"/>
      <c r="Q28" s="242"/>
      <c r="R28" s="242" t="str">
        <f t="shared" si="0"/>
        <v/>
      </c>
      <c r="S28" s="243" t="str">
        <f t="shared" si="1"/>
        <v>-</v>
      </c>
      <c r="T28" s="61"/>
      <c r="U28" s="61"/>
      <c r="V28" s="61"/>
      <c r="W28" s="61"/>
    </row>
    <row r="29" spans="1:79" s="62" customFormat="1" ht="24.95" customHeight="1">
      <c r="A29" s="111"/>
      <c r="B29" s="111"/>
      <c r="C29" s="111"/>
      <c r="D29" s="111"/>
      <c r="E29" s="130"/>
      <c r="F29" s="112"/>
      <c r="G29" s="112"/>
      <c r="H29" s="112"/>
      <c r="I29" s="112"/>
      <c r="J29" s="112"/>
      <c r="K29" s="112"/>
      <c r="L29" s="114"/>
      <c r="M29" s="114"/>
      <c r="N29" s="114"/>
      <c r="O29" s="115"/>
      <c r="P29" s="60"/>
      <c r="Q29" s="242"/>
      <c r="R29" s="242" t="str">
        <f t="shared" si="0"/>
        <v/>
      </c>
      <c r="S29" s="243" t="str">
        <f t="shared" si="1"/>
        <v>-</v>
      </c>
      <c r="T29" s="61"/>
      <c r="U29" s="61"/>
      <c r="V29" s="61"/>
      <c r="W29" s="61"/>
    </row>
    <row r="30" spans="1:79" s="62" customFormat="1" ht="24.95" customHeight="1">
      <c r="A30" s="111"/>
      <c r="B30" s="111"/>
      <c r="C30" s="111"/>
      <c r="D30" s="111"/>
      <c r="E30" s="130"/>
      <c r="F30" s="112"/>
      <c r="G30" s="112"/>
      <c r="H30" s="112"/>
      <c r="I30" s="112"/>
      <c r="J30" s="112"/>
      <c r="K30" s="112"/>
      <c r="L30" s="114"/>
      <c r="M30" s="114"/>
      <c r="N30" s="114"/>
      <c r="O30" s="115"/>
      <c r="P30" s="60"/>
      <c r="Q30" s="242"/>
      <c r="R30" s="242" t="str">
        <f t="shared" si="0"/>
        <v/>
      </c>
      <c r="S30" s="243" t="str">
        <f t="shared" si="1"/>
        <v>-</v>
      </c>
      <c r="T30" s="61"/>
      <c r="U30" s="61"/>
      <c r="V30" s="61"/>
      <c r="W30" s="61"/>
    </row>
    <row r="31" spans="1:79" s="73" customFormat="1" ht="24.95" hidden="1" customHeight="1">
      <c r="A31" s="117" t="s">
        <v>41</v>
      </c>
      <c r="B31" s="117"/>
      <c r="C31" s="264"/>
      <c r="D31" s="264"/>
      <c r="E31" s="117"/>
      <c r="F31" s="118"/>
      <c r="G31" s="119"/>
      <c r="H31" s="119">
        <f>SUM(H6:H30)</f>
        <v>2721</v>
      </c>
      <c r="I31" s="119">
        <f>SUM(I6:I30)</f>
        <v>4824</v>
      </c>
      <c r="J31" s="120"/>
      <c r="K31" s="120"/>
      <c r="L31" s="120"/>
      <c r="M31" s="120"/>
      <c r="N31" s="120"/>
      <c r="O31" s="121"/>
      <c r="P31" s="60"/>
      <c r="Q31" s="242"/>
      <c r="R31" s="242" t="str">
        <f t="shared" si="0"/>
        <v/>
      </c>
      <c r="S31" s="243" t="str">
        <f t="shared" si="1"/>
        <v>err</v>
      </c>
      <c r="T31" s="61"/>
      <c r="U31" s="61"/>
      <c r="V31" s="61"/>
      <c r="W31" s="61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</row>
    <row r="32" spans="1:79" s="62" customFormat="1" ht="24.95" customHeight="1">
      <c r="A32" s="111"/>
      <c r="B32" s="111"/>
      <c r="C32" s="111"/>
      <c r="D32" s="111"/>
      <c r="E32" s="130"/>
      <c r="F32" s="112"/>
      <c r="G32" s="112"/>
      <c r="H32" s="112"/>
      <c r="I32" s="112"/>
      <c r="J32" s="112"/>
      <c r="K32" s="112"/>
      <c r="L32" s="114"/>
      <c r="M32" s="114"/>
      <c r="N32" s="114"/>
      <c r="O32" s="115"/>
      <c r="P32" s="60"/>
      <c r="Q32" s="242"/>
      <c r="R32" s="242" t="str">
        <f t="shared" si="0"/>
        <v/>
      </c>
      <c r="S32" s="243" t="str">
        <f t="shared" si="1"/>
        <v>-</v>
      </c>
      <c r="T32" s="61"/>
      <c r="U32" s="61"/>
      <c r="V32" s="61"/>
      <c r="W32" s="61"/>
    </row>
    <row r="33" spans="1:23" s="62" customFormat="1" ht="24.95" customHeight="1">
      <c r="A33" s="111"/>
      <c r="B33" s="111"/>
      <c r="C33" s="111"/>
      <c r="D33" s="111"/>
      <c r="E33" s="130"/>
      <c r="F33" s="112"/>
      <c r="G33" s="112"/>
      <c r="H33" s="112"/>
      <c r="I33" s="112"/>
      <c r="J33" s="112"/>
      <c r="K33" s="112"/>
      <c r="L33" s="114"/>
      <c r="M33" s="114"/>
      <c r="N33" s="114"/>
      <c r="O33" s="115"/>
      <c r="P33" s="60"/>
      <c r="Q33" s="242"/>
      <c r="R33" s="242" t="str">
        <f t="shared" si="0"/>
        <v/>
      </c>
      <c r="S33" s="243" t="str">
        <f t="shared" si="1"/>
        <v>-</v>
      </c>
      <c r="T33" s="61"/>
      <c r="U33" s="61"/>
      <c r="V33" s="61"/>
      <c r="W33" s="61"/>
    </row>
    <row r="34" spans="1:23" s="62" customFormat="1" ht="24.95" customHeight="1">
      <c r="A34" s="111"/>
      <c r="B34" s="111"/>
      <c r="C34" s="111"/>
      <c r="D34" s="111"/>
      <c r="E34" s="130"/>
      <c r="F34" s="112"/>
      <c r="G34" s="112"/>
      <c r="H34" s="112"/>
      <c r="I34" s="112"/>
      <c r="J34" s="112"/>
      <c r="K34" s="112"/>
      <c r="L34" s="114"/>
      <c r="M34" s="114"/>
      <c r="N34" s="114"/>
      <c r="O34" s="115"/>
      <c r="P34" s="60"/>
      <c r="Q34" s="242"/>
      <c r="R34" s="242" t="str">
        <f t="shared" si="0"/>
        <v/>
      </c>
      <c r="S34" s="243" t="str">
        <f t="shared" si="1"/>
        <v>-</v>
      </c>
      <c r="T34" s="61"/>
      <c r="U34" s="61"/>
      <c r="V34" s="61"/>
      <c r="W34" s="61"/>
    </row>
    <row r="35" spans="1:23" s="62" customFormat="1" ht="24.95" customHeight="1">
      <c r="A35" s="111"/>
      <c r="B35" s="111"/>
      <c r="C35" s="111"/>
      <c r="D35" s="111"/>
      <c r="E35" s="130"/>
      <c r="F35" s="112"/>
      <c r="G35" s="112"/>
      <c r="H35" s="112"/>
      <c r="I35" s="112"/>
      <c r="J35" s="112"/>
      <c r="K35" s="112"/>
      <c r="L35" s="114"/>
      <c r="M35" s="114"/>
      <c r="N35" s="114"/>
      <c r="O35" s="115"/>
      <c r="P35" s="60"/>
      <c r="Q35" s="242"/>
      <c r="R35" s="242" t="str">
        <f t="shared" si="0"/>
        <v/>
      </c>
      <c r="S35" s="243" t="str">
        <f t="shared" si="1"/>
        <v>-</v>
      </c>
      <c r="T35" s="61"/>
      <c r="U35" s="61"/>
      <c r="V35" s="61"/>
      <c r="W35" s="61"/>
    </row>
    <row r="36" spans="1:23" s="62" customFormat="1" ht="24.95" customHeight="1">
      <c r="A36" s="111"/>
      <c r="B36" s="111"/>
      <c r="C36" s="111"/>
      <c r="D36" s="111"/>
      <c r="E36" s="130"/>
      <c r="F36" s="112"/>
      <c r="G36" s="112"/>
      <c r="H36" s="112"/>
      <c r="I36" s="112"/>
      <c r="J36" s="112"/>
      <c r="K36" s="112"/>
      <c r="L36" s="114"/>
      <c r="M36" s="114"/>
      <c r="N36" s="114"/>
      <c r="O36" s="115"/>
      <c r="P36" s="60"/>
      <c r="Q36" s="242"/>
      <c r="R36" s="242" t="str">
        <f t="shared" si="0"/>
        <v/>
      </c>
      <c r="S36" s="243" t="str">
        <f t="shared" si="1"/>
        <v>-</v>
      </c>
      <c r="T36" s="61"/>
      <c r="U36" s="61"/>
      <c r="V36" s="61"/>
      <c r="W36" s="61"/>
    </row>
    <row r="37" spans="1:23" s="62" customFormat="1" ht="24.95" customHeight="1">
      <c r="A37" s="111"/>
      <c r="B37" s="111"/>
      <c r="C37" s="111"/>
      <c r="D37" s="111"/>
      <c r="E37" s="130"/>
      <c r="F37" s="112"/>
      <c r="G37" s="112"/>
      <c r="H37" s="112"/>
      <c r="I37" s="113"/>
      <c r="J37" s="112"/>
      <c r="K37" s="112"/>
      <c r="L37" s="114"/>
      <c r="M37" s="114"/>
      <c r="N37" s="114"/>
      <c r="O37" s="115"/>
      <c r="P37" s="60"/>
      <c r="Q37" s="242"/>
      <c r="R37" s="242" t="str">
        <f t="shared" si="0"/>
        <v/>
      </c>
      <c r="S37" s="243" t="str">
        <f t="shared" si="1"/>
        <v>-</v>
      </c>
      <c r="T37" s="61"/>
      <c r="U37" s="61"/>
      <c r="V37" s="61"/>
      <c r="W37" s="61"/>
    </row>
    <row r="38" spans="1:23" s="62" customFormat="1" ht="24.95" customHeight="1">
      <c r="A38" s="111"/>
      <c r="B38" s="111"/>
      <c r="C38" s="111"/>
      <c r="D38" s="111"/>
      <c r="E38" s="122"/>
      <c r="F38" s="112"/>
      <c r="G38" s="112"/>
      <c r="H38" s="112"/>
      <c r="I38" s="113"/>
      <c r="J38" s="112"/>
      <c r="K38" s="112"/>
      <c r="L38" s="114"/>
      <c r="M38" s="114"/>
      <c r="N38" s="114"/>
      <c r="O38" s="115"/>
      <c r="P38" s="60"/>
      <c r="Q38" s="242"/>
      <c r="R38" s="242" t="str">
        <f t="shared" si="0"/>
        <v/>
      </c>
      <c r="S38" s="243" t="str">
        <f t="shared" si="1"/>
        <v>-</v>
      </c>
      <c r="T38" s="61"/>
      <c r="U38" s="61"/>
      <c r="V38" s="61"/>
      <c r="W38" s="61"/>
    </row>
    <row r="39" spans="1:23" s="62" customFormat="1" ht="24.95" customHeight="1">
      <c r="A39" s="111"/>
      <c r="B39" s="111"/>
      <c r="C39" s="111"/>
      <c r="D39" s="111"/>
      <c r="E39" s="130"/>
      <c r="F39" s="112"/>
      <c r="G39" s="112"/>
      <c r="H39" s="112"/>
      <c r="I39" s="112"/>
      <c r="J39" s="112"/>
      <c r="K39" s="112"/>
      <c r="L39" s="114"/>
      <c r="M39" s="114"/>
      <c r="N39" s="114"/>
      <c r="O39" s="115"/>
      <c r="P39" s="60"/>
      <c r="Q39" s="242"/>
      <c r="R39" s="242" t="str">
        <f t="shared" si="0"/>
        <v/>
      </c>
      <c r="S39" s="243" t="str">
        <f t="shared" si="1"/>
        <v>-</v>
      </c>
      <c r="T39" s="61"/>
      <c r="U39" s="61"/>
      <c r="V39" s="61"/>
      <c r="W39" s="61"/>
    </row>
    <row r="40" spans="1:23" s="62" customFormat="1" ht="24.95" customHeight="1">
      <c r="A40" s="111"/>
      <c r="B40" s="111"/>
      <c r="C40" s="111"/>
      <c r="D40" s="111"/>
      <c r="E40" s="122"/>
      <c r="F40" s="112"/>
      <c r="G40" s="112"/>
      <c r="H40" s="112"/>
      <c r="I40" s="113"/>
      <c r="J40" s="112"/>
      <c r="K40" s="112"/>
      <c r="L40" s="114"/>
      <c r="M40" s="114"/>
      <c r="N40" s="114"/>
      <c r="O40" s="115"/>
      <c r="P40" s="60"/>
      <c r="Q40" s="242"/>
      <c r="R40" s="242" t="str">
        <f t="shared" si="0"/>
        <v/>
      </c>
      <c r="S40" s="243" t="str">
        <f t="shared" si="1"/>
        <v>-</v>
      </c>
      <c r="T40" s="61"/>
      <c r="U40" s="61"/>
      <c r="V40" s="61"/>
      <c r="W40" s="61"/>
    </row>
    <row r="41" spans="1:23" s="62" customFormat="1" ht="24.95" customHeight="1">
      <c r="A41" s="111"/>
      <c r="B41" s="111"/>
      <c r="C41" s="111"/>
      <c r="D41" s="111"/>
      <c r="E41" s="122"/>
      <c r="F41" s="112"/>
      <c r="G41" s="112"/>
      <c r="H41" s="112"/>
      <c r="I41" s="113"/>
      <c r="J41" s="112"/>
      <c r="K41" s="112"/>
      <c r="L41" s="114"/>
      <c r="M41" s="114"/>
      <c r="N41" s="114"/>
      <c r="O41" s="115"/>
      <c r="P41" s="60"/>
      <c r="Q41" s="242"/>
      <c r="R41" s="242" t="str">
        <f t="shared" si="0"/>
        <v/>
      </c>
      <c r="S41" s="243" t="str">
        <f t="shared" si="1"/>
        <v>-</v>
      </c>
      <c r="T41" s="61"/>
      <c r="U41" s="61"/>
      <c r="V41" s="61"/>
      <c r="W41" s="61"/>
    </row>
    <row r="42" spans="1:23" s="62" customFormat="1" ht="24.95" customHeight="1">
      <c r="A42" s="111"/>
      <c r="B42" s="111"/>
      <c r="C42" s="111"/>
      <c r="D42" s="111"/>
      <c r="E42" s="122"/>
      <c r="F42" s="112"/>
      <c r="G42" s="112"/>
      <c r="H42" s="112"/>
      <c r="I42" s="113"/>
      <c r="J42" s="112"/>
      <c r="K42" s="112"/>
      <c r="L42" s="114"/>
      <c r="M42" s="114"/>
      <c r="N42" s="114"/>
      <c r="O42" s="115"/>
      <c r="P42" s="60"/>
      <c r="Q42" s="242"/>
      <c r="R42" s="242" t="str">
        <f t="shared" si="0"/>
        <v/>
      </c>
      <c r="S42" s="243" t="str">
        <f t="shared" si="1"/>
        <v>-</v>
      </c>
      <c r="T42" s="61"/>
      <c r="U42" s="61"/>
      <c r="V42" s="61"/>
      <c r="W42" s="61"/>
    </row>
    <row r="43" spans="1:23" s="62" customFormat="1" ht="24.95" customHeight="1">
      <c r="A43" s="111"/>
      <c r="B43" s="111"/>
      <c r="C43" s="111"/>
      <c r="D43" s="111"/>
      <c r="E43" s="122"/>
      <c r="F43" s="112"/>
      <c r="G43" s="112"/>
      <c r="H43" s="112"/>
      <c r="I43" s="116"/>
      <c r="J43" s="112"/>
      <c r="K43" s="112"/>
      <c r="L43" s="114"/>
      <c r="M43" s="114"/>
      <c r="N43" s="114"/>
      <c r="O43" s="115"/>
      <c r="P43" s="60"/>
      <c r="Q43" s="242"/>
      <c r="R43" s="242" t="str">
        <f t="shared" si="0"/>
        <v/>
      </c>
      <c r="S43" s="243" t="str">
        <f t="shared" si="1"/>
        <v>-</v>
      </c>
      <c r="T43" s="61"/>
      <c r="U43" s="61"/>
      <c r="V43" s="61"/>
      <c r="W43" s="61"/>
    </row>
    <row r="44" spans="1:23" s="62" customFormat="1" ht="24.95" customHeight="1">
      <c r="A44" s="111"/>
      <c r="B44" s="111"/>
      <c r="C44" s="111"/>
      <c r="D44" s="111"/>
      <c r="E44" s="122"/>
      <c r="F44" s="112"/>
      <c r="G44" s="112"/>
      <c r="H44" s="112"/>
      <c r="I44" s="113"/>
      <c r="J44" s="112"/>
      <c r="K44" s="112"/>
      <c r="L44" s="114"/>
      <c r="M44" s="114"/>
      <c r="N44" s="114"/>
      <c r="O44" s="115"/>
      <c r="P44" s="60"/>
      <c r="Q44" s="242"/>
      <c r="R44" s="242" t="str">
        <f t="shared" si="0"/>
        <v/>
      </c>
      <c r="S44" s="243" t="str">
        <f t="shared" si="1"/>
        <v>-</v>
      </c>
      <c r="T44" s="61"/>
      <c r="U44" s="61"/>
      <c r="V44" s="61"/>
      <c r="W44" s="61"/>
    </row>
    <row r="45" spans="1:23" s="62" customFormat="1" ht="24.95" customHeight="1">
      <c r="A45" s="111"/>
      <c r="B45" s="111"/>
      <c r="C45" s="111"/>
      <c r="D45" s="111"/>
      <c r="E45" s="122"/>
      <c r="F45" s="112"/>
      <c r="G45" s="112"/>
      <c r="H45" s="112"/>
      <c r="I45" s="113"/>
      <c r="J45" s="112"/>
      <c r="K45" s="112"/>
      <c r="L45" s="114"/>
      <c r="M45" s="114"/>
      <c r="N45" s="114"/>
      <c r="O45" s="115"/>
      <c r="P45" s="60"/>
      <c r="Q45" s="242"/>
      <c r="R45" s="242" t="str">
        <f t="shared" si="0"/>
        <v/>
      </c>
      <c r="S45" s="243" t="str">
        <f t="shared" si="1"/>
        <v>-</v>
      </c>
      <c r="T45" s="61"/>
      <c r="U45" s="61"/>
      <c r="V45" s="61"/>
      <c r="W45" s="61"/>
    </row>
    <row r="46" spans="1:23" s="62" customFormat="1" ht="24.95" customHeight="1">
      <c r="A46" s="111"/>
      <c r="B46" s="111"/>
      <c r="C46" s="111"/>
      <c r="D46" s="111"/>
      <c r="E46" s="122"/>
      <c r="F46" s="112"/>
      <c r="G46" s="112"/>
      <c r="H46" s="112"/>
      <c r="I46" s="113"/>
      <c r="J46" s="112"/>
      <c r="K46" s="112"/>
      <c r="L46" s="114"/>
      <c r="M46" s="114"/>
      <c r="N46" s="114"/>
      <c r="O46" s="115"/>
      <c r="P46" s="60"/>
      <c r="Q46" s="242"/>
      <c r="R46" s="242" t="str">
        <f t="shared" si="0"/>
        <v/>
      </c>
      <c r="S46" s="243" t="str">
        <f t="shared" si="1"/>
        <v>-</v>
      </c>
      <c r="T46" s="61"/>
      <c r="U46" s="61"/>
      <c r="V46" s="61"/>
      <c r="W46" s="61"/>
    </row>
    <row r="47" spans="1:23" s="62" customFormat="1" ht="24.95" customHeight="1">
      <c r="A47" s="111"/>
      <c r="B47" s="111"/>
      <c r="C47" s="111"/>
      <c r="D47" s="111"/>
      <c r="E47" s="122"/>
      <c r="F47" s="112"/>
      <c r="G47" s="112"/>
      <c r="H47" s="112"/>
      <c r="I47" s="113"/>
      <c r="J47" s="112"/>
      <c r="K47" s="112"/>
      <c r="L47" s="114"/>
      <c r="M47" s="114"/>
      <c r="N47" s="114"/>
      <c r="O47" s="115"/>
      <c r="P47" s="60"/>
      <c r="Q47" s="242"/>
      <c r="R47" s="242" t="str">
        <f t="shared" si="0"/>
        <v/>
      </c>
      <c r="S47" s="243" t="str">
        <f t="shared" si="1"/>
        <v>-</v>
      </c>
      <c r="T47" s="61"/>
      <c r="U47" s="61"/>
      <c r="V47" s="61"/>
      <c r="W47" s="61"/>
    </row>
    <row r="48" spans="1:23" s="62" customFormat="1" ht="24.95" customHeight="1">
      <c r="A48" s="111"/>
      <c r="B48" s="111"/>
      <c r="C48" s="111"/>
      <c r="D48" s="111"/>
      <c r="E48" s="122"/>
      <c r="F48" s="112"/>
      <c r="G48" s="112"/>
      <c r="H48" s="112"/>
      <c r="I48" s="116"/>
      <c r="J48" s="112"/>
      <c r="K48" s="112"/>
      <c r="L48" s="114"/>
      <c r="M48" s="114"/>
      <c r="N48" s="114"/>
      <c r="O48" s="115"/>
      <c r="P48" s="60"/>
      <c r="Q48" s="242"/>
      <c r="R48" s="242" t="str">
        <f t="shared" si="0"/>
        <v/>
      </c>
      <c r="S48" s="243" t="str">
        <f t="shared" si="1"/>
        <v>-</v>
      </c>
      <c r="T48" s="61"/>
      <c r="U48" s="61"/>
      <c r="V48" s="61"/>
      <c r="W48" s="61"/>
    </row>
    <row r="49" spans="1:79" s="73" customFormat="1" ht="24.95" customHeight="1">
      <c r="A49" s="117" t="s">
        <v>41</v>
      </c>
      <c r="B49" s="117"/>
      <c r="C49" s="264"/>
      <c r="D49" s="264"/>
      <c r="E49" s="117"/>
      <c r="F49" s="118"/>
      <c r="G49" s="119"/>
      <c r="H49" s="119">
        <f>SUM(H32:H48)</f>
        <v>0</v>
      </c>
      <c r="I49" s="119">
        <f>SUM(I32:I48)</f>
        <v>0</v>
      </c>
      <c r="J49" s="120"/>
      <c r="K49" s="120"/>
      <c r="L49" s="141"/>
      <c r="M49" s="114"/>
      <c r="N49" s="114"/>
      <c r="O49" s="121"/>
      <c r="P49" s="60"/>
      <c r="Q49" s="242"/>
      <c r="R49" s="242" t="str">
        <f t="shared" si="0"/>
        <v/>
      </c>
      <c r="S49" s="243" t="str">
        <f t="shared" si="1"/>
        <v>-</v>
      </c>
      <c r="T49" s="61"/>
      <c r="U49" s="61"/>
      <c r="V49" s="61"/>
      <c r="W49" s="61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</row>
    <row r="50" spans="1:79" s="62" customFormat="1" ht="24.95" customHeight="1">
      <c r="A50" s="58"/>
      <c r="B50" s="161"/>
      <c r="C50" s="161"/>
      <c r="D50" s="161"/>
      <c r="E50" s="82"/>
      <c r="F50" s="59"/>
      <c r="G50" s="59"/>
      <c r="H50" s="59"/>
      <c r="I50" s="59"/>
      <c r="J50" s="59"/>
      <c r="K50" s="59"/>
      <c r="L50" s="43"/>
      <c r="M50" s="43"/>
      <c r="N50" s="43"/>
      <c r="O50" s="115"/>
      <c r="P50" s="60"/>
      <c r="Q50" s="242"/>
      <c r="R50" s="242" t="str">
        <f t="shared" si="0"/>
        <v/>
      </c>
      <c r="S50" s="243" t="str">
        <f t="shared" si="1"/>
        <v>-</v>
      </c>
      <c r="T50" s="61"/>
      <c r="U50" s="61"/>
      <c r="V50" s="61"/>
      <c r="W50" s="61"/>
    </row>
    <row r="51" spans="1:79" s="62" customFormat="1" ht="24.95" customHeight="1">
      <c r="A51" s="92"/>
      <c r="B51" s="162"/>
      <c r="C51" s="162"/>
      <c r="D51" s="162"/>
      <c r="E51" s="96"/>
      <c r="F51" s="93"/>
      <c r="G51" s="93"/>
      <c r="H51" s="93"/>
      <c r="I51" s="93"/>
      <c r="J51" s="93"/>
      <c r="K51" s="93"/>
      <c r="L51" s="94"/>
      <c r="M51" s="94"/>
      <c r="N51" s="94"/>
      <c r="O51" s="115"/>
      <c r="P51" s="60"/>
      <c r="Q51" s="242"/>
      <c r="R51" s="242" t="str">
        <f t="shared" si="0"/>
        <v/>
      </c>
      <c r="S51" s="243" t="str">
        <f t="shared" si="1"/>
        <v>-</v>
      </c>
      <c r="T51" s="61"/>
      <c r="U51" s="61"/>
      <c r="V51" s="61"/>
      <c r="W51" s="61"/>
    </row>
    <row r="52" spans="1:79" s="62" customFormat="1" ht="24.95" customHeight="1">
      <c r="A52" s="63"/>
      <c r="B52" s="163"/>
      <c r="C52" s="163"/>
      <c r="D52" s="163"/>
      <c r="E52" s="83"/>
      <c r="F52" s="65"/>
      <c r="G52" s="65"/>
      <c r="H52" s="65"/>
      <c r="I52" s="65"/>
      <c r="J52" s="65"/>
      <c r="K52" s="65"/>
      <c r="L52" s="44">
        <v>0</v>
      </c>
      <c r="M52" s="44">
        <v>0</v>
      </c>
      <c r="N52" s="44">
        <v>0</v>
      </c>
      <c r="O52" s="115"/>
      <c r="P52" s="60"/>
      <c r="Q52" s="242"/>
      <c r="R52" s="242" t="str">
        <f t="shared" si="0"/>
        <v/>
      </c>
      <c r="S52" s="243" t="str">
        <f t="shared" si="1"/>
        <v>-</v>
      </c>
      <c r="T52" s="61"/>
      <c r="U52" s="61"/>
      <c r="V52" s="61"/>
      <c r="W52" s="61"/>
    </row>
    <row r="53" spans="1:79" s="62" customFormat="1" ht="24.95" customHeight="1">
      <c r="A53" s="63"/>
      <c r="B53" s="163"/>
      <c r="C53" s="163"/>
      <c r="D53" s="163"/>
      <c r="E53" s="84"/>
      <c r="F53" s="65"/>
      <c r="G53" s="65"/>
      <c r="H53" s="65"/>
      <c r="I53" s="65"/>
      <c r="J53" s="65"/>
      <c r="K53" s="65"/>
      <c r="L53" s="44">
        <v>0</v>
      </c>
      <c r="M53" s="44">
        <v>0</v>
      </c>
      <c r="N53" s="44">
        <v>0</v>
      </c>
      <c r="O53" s="17"/>
      <c r="P53" s="60"/>
      <c r="Q53" s="242"/>
      <c r="R53" s="242" t="str">
        <f t="shared" si="0"/>
        <v/>
      </c>
      <c r="S53" s="243" t="str">
        <f t="shared" si="1"/>
        <v>-</v>
      </c>
      <c r="T53" s="61"/>
      <c r="U53" s="61"/>
      <c r="V53" s="61"/>
      <c r="W53" s="61"/>
    </row>
    <row r="54" spans="1:79" s="62" customFormat="1" ht="24.95" customHeight="1">
      <c r="A54" s="63"/>
      <c r="B54" s="163"/>
      <c r="C54" s="163"/>
      <c r="D54" s="163"/>
      <c r="E54" s="89"/>
      <c r="F54" s="65"/>
      <c r="G54" s="65"/>
      <c r="H54" s="65"/>
      <c r="I54" s="65"/>
      <c r="J54" s="65"/>
      <c r="K54" s="65"/>
      <c r="L54" s="44">
        <v>0</v>
      </c>
      <c r="M54" s="44">
        <v>0</v>
      </c>
      <c r="N54" s="44">
        <v>0</v>
      </c>
      <c r="O54" s="17"/>
      <c r="P54" s="60"/>
      <c r="Q54" s="242"/>
      <c r="R54" s="242" t="str">
        <f t="shared" si="0"/>
        <v/>
      </c>
      <c r="S54" s="243" t="str">
        <f t="shared" si="1"/>
        <v>-</v>
      </c>
      <c r="T54" s="61"/>
      <c r="U54" s="61"/>
      <c r="V54" s="61"/>
      <c r="W54" s="61"/>
    </row>
    <row r="55" spans="1:79" s="62" customFormat="1" ht="24.95" customHeight="1">
      <c r="A55" s="63"/>
      <c r="B55" s="163"/>
      <c r="C55" s="163"/>
      <c r="D55" s="163"/>
      <c r="E55" s="89"/>
      <c r="F55" s="65"/>
      <c r="G55" s="65"/>
      <c r="H55" s="65"/>
      <c r="I55" s="65"/>
      <c r="J55" s="65"/>
      <c r="K55" s="65"/>
      <c r="L55" s="44">
        <v>0</v>
      </c>
      <c r="M55" s="44">
        <v>0</v>
      </c>
      <c r="N55" s="44">
        <v>0</v>
      </c>
      <c r="O55" s="17"/>
      <c r="P55" s="60"/>
      <c r="Q55" s="242"/>
      <c r="R55" s="242" t="str">
        <f t="shared" si="0"/>
        <v/>
      </c>
      <c r="S55" s="243" t="str">
        <f t="shared" si="1"/>
        <v>-</v>
      </c>
      <c r="T55" s="61"/>
      <c r="U55" s="61"/>
      <c r="V55" s="61"/>
      <c r="W55" s="61"/>
    </row>
    <row r="56" spans="1:79" s="62" customFormat="1" ht="24.95" customHeight="1">
      <c r="A56" s="63"/>
      <c r="B56" s="163"/>
      <c r="C56" s="163"/>
      <c r="D56" s="163"/>
      <c r="E56" s="89"/>
      <c r="F56" s="65"/>
      <c r="G56" s="65"/>
      <c r="H56" s="65"/>
      <c r="I56" s="65"/>
      <c r="J56" s="65"/>
      <c r="K56" s="65"/>
      <c r="L56" s="44"/>
      <c r="M56" s="44"/>
      <c r="N56" s="44"/>
      <c r="O56" s="17"/>
      <c r="P56" s="60"/>
      <c r="Q56" s="242"/>
      <c r="R56" s="242" t="str">
        <f t="shared" si="0"/>
        <v/>
      </c>
      <c r="S56" s="243" t="str">
        <f t="shared" si="1"/>
        <v>-</v>
      </c>
      <c r="T56" s="61"/>
      <c r="U56" s="61"/>
      <c r="V56" s="61"/>
      <c r="W56" s="61"/>
    </row>
    <row r="57" spans="1:79" s="62" customFormat="1" ht="24.95" customHeight="1">
      <c r="A57" s="63"/>
      <c r="B57" s="163"/>
      <c r="C57" s="163"/>
      <c r="D57" s="163"/>
      <c r="E57" s="89"/>
      <c r="F57" s="65"/>
      <c r="G57" s="65"/>
      <c r="H57" s="65"/>
      <c r="I57" s="65"/>
      <c r="J57" s="65"/>
      <c r="K57" s="65"/>
      <c r="L57" s="44"/>
      <c r="M57" s="44"/>
      <c r="N57" s="44"/>
      <c r="O57" s="17"/>
      <c r="P57" s="60"/>
      <c r="Q57" s="242"/>
      <c r="R57" s="242" t="str">
        <f t="shared" si="0"/>
        <v/>
      </c>
      <c r="S57" s="243" t="str">
        <f t="shared" si="1"/>
        <v>-</v>
      </c>
      <c r="T57" s="61"/>
      <c r="U57" s="61"/>
      <c r="V57" s="61"/>
      <c r="W57" s="61"/>
    </row>
    <row r="58" spans="1:79" s="62" customFormat="1" ht="24.95" customHeight="1">
      <c r="A58" s="63"/>
      <c r="B58" s="163"/>
      <c r="C58" s="163"/>
      <c r="D58" s="163"/>
      <c r="E58" s="89"/>
      <c r="F58" s="65"/>
      <c r="G58" s="65"/>
      <c r="H58" s="65"/>
      <c r="I58" s="65"/>
      <c r="J58" s="65"/>
      <c r="K58" s="65"/>
      <c r="L58" s="44"/>
      <c r="M58" s="44"/>
      <c r="N58" s="44"/>
      <c r="O58" s="17"/>
      <c r="P58" s="60"/>
      <c r="Q58" s="242"/>
      <c r="R58" s="242" t="str">
        <f t="shared" si="0"/>
        <v/>
      </c>
      <c r="S58" s="243" t="str">
        <f t="shared" si="1"/>
        <v>-</v>
      </c>
      <c r="T58" s="61"/>
      <c r="U58" s="61"/>
      <c r="V58" s="61"/>
      <c r="W58" s="61"/>
    </row>
    <row r="59" spans="1:79" s="62" customFormat="1" ht="24.95" customHeight="1">
      <c r="A59" s="63"/>
      <c r="B59" s="163"/>
      <c r="C59" s="163"/>
      <c r="D59" s="163"/>
      <c r="E59" s="89"/>
      <c r="F59" s="65"/>
      <c r="G59" s="65"/>
      <c r="H59" s="65"/>
      <c r="I59" s="65"/>
      <c r="J59" s="65"/>
      <c r="K59" s="65"/>
      <c r="L59" s="44">
        <v>0</v>
      </c>
      <c r="M59" s="44">
        <v>0</v>
      </c>
      <c r="N59" s="44">
        <v>0</v>
      </c>
      <c r="O59" s="17"/>
      <c r="P59" s="60"/>
      <c r="Q59" s="242"/>
      <c r="R59" s="242" t="str">
        <f t="shared" si="0"/>
        <v/>
      </c>
      <c r="S59" s="243" t="str">
        <f t="shared" si="1"/>
        <v>-</v>
      </c>
      <c r="T59" s="61"/>
      <c r="U59" s="61"/>
      <c r="V59" s="61"/>
      <c r="W59" s="61"/>
    </row>
    <row r="60" spans="1:79" s="62" customFormat="1" ht="24.95" customHeight="1">
      <c r="A60" s="63"/>
      <c r="B60" s="163"/>
      <c r="C60" s="163"/>
      <c r="D60" s="163"/>
      <c r="E60" s="89"/>
      <c r="F60" s="65"/>
      <c r="G60" s="65"/>
      <c r="H60" s="65"/>
      <c r="I60" s="65"/>
      <c r="J60" s="65"/>
      <c r="K60" s="65"/>
      <c r="L60" s="44">
        <v>0</v>
      </c>
      <c r="M60" s="44">
        <v>0</v>
      </c>
      <c r="N60" s="44">
        <v>0</v>
      </c>
      <c r="O60" s="17"/>
      <c r="P60" s="60"/>
      <c r="Q60" s="242"/>
      <c r="R60" s="242" t="str">
        <f t="shared" si="0"/>
        <v/>
      </c>
      <c r="S60" s="243" t="str">
        <f t="shared" si="1"/>
        <v>-</v>
      </c>
      <c r="T60" s="61"/>
      <c r="U60" s="61"/>
      <c r="V60" s="61"/>
      <c r="W60" s="61"/>
    </row>
    <row r="61" spans="1:79" s="62" customFormat="1" ht="24.95" customHeight="1">
      <c r="A61" s="63"/>
      <c r="B61" s="163"/>
      <c r="C61" s="163"/>
      <c r="D61" s="163"/>
      <c r="E61" s="64"/>
      <c r="F61" s="65"/>
      <c r="G61" s="65"/>
      <c r="H61" s="65"/>
      <c r="I61" s="65"/>
      <c r="J61" s="65"/>
      <c r="K61" s="65"/>
      <c r="L61" s="44"/>
      <c r="M61" s="44"/>
      <c r="N61" s="44"/>
      <c r="O61" s="17"/>
      <c r="P61" s="60"/>
      <c r="Q61" s="242"/>
      <c r="R61" s="242" t="str">
        <f t="shared" si="0"/>
        <v/>
      </c>
      <c r="S61" s="243" t="str">
        <f t="shared" si="1"/>
        <v>-</v>
      </c>
      <c r="T61" s="61"/>
      <c r="U61" s="61"/>
      <c r="V61" s="61"/>
      <c r="W61" s="61"/>
    </row>
    <row r="62" spans="1:79" s="62" customFormat="1" ht="24.95" customHeight="1">
      <c r="A62" s="63"/>
      <c r="B62" s="163"/>
      <c r="C62" s="163"/>
      <c r="D62" s="163"/>
      <c r="E62" s="64"/>
      <c r="F62" s="65"/>
      <c r="G62" s="65"/>
      <c r="H62" s="65"/>
      <c r="I62" s="65"/>
      <c r="J62" s="65"/>
      <c r="K62" s="65"/>
      <c r="L62" s="44"/>
      <c r="M62" s="44"/>
      <c r="N62" s="44"/>
      <c r="O62" s="17"/>
      <c r="P62" s="60"/>
      <c r="Q62" s="242"/>
      <c r="R62" s="242" t="str">
        <f t="shared" si="0"/>
        <v/>
      </c>
      <c r="S62" s="243" t="str">
        <f t="shared" si="1"/>
        <v>-</v>
      </c>
      <c r="T62" s="61"/>
      <c r="U62" s="61"/>
      <c r="V62" s="61"/>
      <c r="W62" s="61"/>
    </row>
    <row r="63" spans="1:79" s="62" customFormat="1" ht="24.95" customHeight="1">
      <c r="A63" s="63"/>
      <c r="B63" s="163"/>
      <c r="C63" s="163"/>
      <c r="D63" s="163"/>
      <c r="E63" s="64"/>
      <c r="F63" s="65"/>
      <c r="G63" s="65"/>
      <c r="H63" s="65"/>
      <c r="I63" s="65"/>
      <c r="J63" s="65"/>
      <c r="K63" s="65"/>
      <c r="L63" s="44"/>
      <c r="M63" s="44"/>
      <c r="N63" s="44"/>
      <c r="O63" s="17"/>
      <c r="P63" s="60"/>
      <c r="Q63" s="242"/>
      <c r="R63" s="242" t="str">
        <f t="shared" si="0"/>
        <v/>
      </c>
      <c r="S63" s="243" t="str">
        <f t="shared" si="1"/>
        <v>-</v>
      </c>
      <c r="T63" s="61"/>
      <c r="U63" s="61"/>
      <c r="V63" s="61"/>
      <c r="W63" s="61"/>
    </row>
    <row r="64" spans="1:79" s="62" customFormat="1" ht="24.95" customHeight="1">
      <c r="A64" s="63"/>
      <c r="B64" s="163"/>
      <c r="C64" s="163"/>
      <c r="D64" s="163"/>
      <c r="E64" s="64"/>
      <c r="F64" s="65"/>
      <c r="G64" s="65"/>
      <c r="H64" s="65"/>
      <c r="I64" s="65"/>
      <c r="J64" s="65"/>
      <c r="K64" s="65"/>
      <c r="L64" s="44"/>
      <c r="M64" s="44"/>
      <c r="N64" s="44"/>
      <c r="O64" s="17"/>
      <c r="P64" s="60"/>
      <c r="Q64" s="242"/>
      <c r="R64" s="242" t="str">
        <f t="shared" si="0"/>
        <v/>
      </c>
      <c r="S64" s="243" t="str">
        <f t="shared" si="1"/>
        <v>-</v>
      </c>
      <c r="T64" s="61"/>
      <c r="U64" s="61"/>
      <c r="V64" s="61"/>
      <c r="W64" s="61"/>
    </row>
    <row r="65" spans="1:79" s="62" customFormat="1" ht="24.95" customHeight="1">
      <c r="A65" s="63"/>
      <c r="B65" s="163"/>
      <c r="C65" s="163"/>
      <c r="D65" s="163"/>
      <c r="E65" s="64"/>
      <c r="F65" s="65"/>
      <c r="G65" s="65"/>
      <c r="H65" s="65"/>
      <c r="I65" s="65"/>
      <c r="J65" s="65"/>
      <c r="K65" s="65"/>
      <c r="L65" s="44"/>
      <c r="M65" s="44"/>
      <c r="N65" s="44"/>
      <c r="O65" s="17"/>
      <c r="P65" s="60"/>
      <c r="Q65" s="242"/>
      <c r="R65" s="242" t="str">
        <f t="shared" si="0"/>
        <v/>
      </c>
      <c r="S65" s="243" t="str">
        <f t="shared" si="1"/>
        <v>-</v>
      </c>
      <c r="T65" s="61"/>
      <c r="U65" s="61"/>
      <c r="V65" s="61"/>
      <c r="W65" s="61"/>
    </row>
    <row r="66" spans="1:79" s="62" customFormat="1" ht="24.95" customHeight="1">
      <c r="A66" s="63"/>
      <c r="B66" s="163"/>
      <c r="C66" s="163"/>
      <c r="D66" s="163"/>
      <c r="E66" s="64"/>
      <c r="F66" s="65"/>
      <c r="G66" s="65"/>
      <c r="H66" s="65"/>
      <c r="I66" s="65"/>
      <c r="J66" s="65"/>
      <c r="K66" s="65"/>
      <c r="L66" s="44"/>
      <c r="M66" s="44"/>
      <c r="N66" s="44"/>
      <c r="O66" s="17"/>
      <c r="P66" s="60"/>
      <c r="Q66" s="242"/>
      <c r="R66" s="242" t="str">
        <f t="shared" si="0"/>
        <v/>
      </c>
      <c r="S66" s="243" t="str">
        <f t="shared" si="1"/>
        <v>-</v>
      </c>
      <c r="T66" s="61"/>
      <c r="U66" s="61"/>
      <c r="V66" s="61"/>
      <c r="W66" s="61"/>
    </row>
    <row r="67" spans="1:79" s="62" customFormat="1" ht="24.95" customHeight="1">
      <c r="A67" s="63"/>
      <c r="B67" s="163"/>
      <c r="C67" s="163"/>
      <c r="D67" s="163"/>
      <c r="E67" s="64"/>
      <c r="F67" s="65"/>
      <c r="G67" s="65"/>
      <c r="H67" s="65"/>
      <c r="I67" s="65"/>
      <c r="J67" s="65"/>
      <c r="K67" s="65"/>
      <c r="L67" s="44"/>
      <c r="M67" s="44"/>
      <c r="N67" s="44"/>
      <c r="O67" s="17"/>
      <c r="P67" s="60"/>
      <c r="Q67" s="242"/>
      <c r="R67" s="242" t="str">
        <f t="shared" si="0"/>
        <v/>
      </c>
      <c r="S67" s="243" t="str">
        <f t="shared" si="1"/>
        <v>-</v>
      </c>
      <c r="T67" s="61"/>
      <c r="U67" s="61"/>
      <c r="V67" s="61"/>
      <c r="W67" s="61"/>
    </row>
    <row r="68" spans="1:79" s="62" customFormat="1" ht="24.95" customHeight="1">
      <c r="A68" s="63"/>
      <c r="B68" s="163"/>
      <c r="C68" s="163"/>
      <c r="D68" s="163"/>
      <c r="E68" s="64"/>
      <c r="F68" s="65"/>
      <c r="G68" s="65"/>
      <c r="H68" s="65"/>
      <c r="I68" s="65"/>
      <c r="J68" s="65"/>
      <c r="K68" s="65"/>
      <c r="L68" s="44"/>
      <c r="M68" s="44"/>
      <c r="N68" s="44"/>
      <c r="O68" s="17"/>
      <c r="P68" s="60"/>
      <c r="Q68" s="242"/>
      <c r="R68" s="242" t="str">
        <f t="shared" si="0"/>
        <v/>
      </c>
      <c r="S68" s="243" t="str">
        <f t="shared" si="1"/>
        <v>-</v>
      </c>
      <c r="T68" s="61"/>
      <c r="U68" s="61"/>
      <c r="V68" s="61"/>
      <c r="W68" s="61"/>
    </row>
    <row r="69" spans="1:79" s="62" customFormat="1" ht="24.95" customHeight="1">
      <c r="A69" s="63"/>
      <c r="B69" s="163"/>
      <c r="C69" s="163"/>
      <c r="D69" s="163"/>
      <c r="E69" s="64"/>
      <c r="F69" s="65"/>
      <c r="G69" s="65"/>
      <c r="H69" s="65"/>
      <c r="I69" s="65"/>
      <c r="J69" s="65"/>
      <c r="K69" s="65"/>
      <c r="L69" s="44"/>
      <c r="M69" s="44"/>
      <c r="N69" s="44"/>
      <c r="O69" s="17"/>
      <c r="P69" s="60"/>
      <c r="Q69" s="242"/>
      <c r="R69" s="242" t="str">
        <f t="shared" si="0"/>
        <v/>
      </c>
      <c r="S69" s="243" t="str">
        <f t="shared" si="1"/>
        <v>-</v>
      </c>
      <c r="T69" s="61"/>
      <c r="U69" s="61"/>
      <c r="V69" s="61"/>
      <c r="W69" s="61"/>
    </row>
    <row r="70" spans="1:79" s="73" customFormat="1" ht="24.95" customHeight="1">
      <c r="A70" s="66" t="s">
        <v>41</v>
      </c>
      <c r="B70" s="67"/>
      <c r="C70" s="67"/>
      <c r="D70" s="67"/>
      <c r="E70" s="67"/>
      <c r="F70" s="68"/>
      <c r="G70" s="69"/>
      <c r="H70" s="69"/>
      <c r="I70" s="69">
        <f>SUM(I50:I69)</f>
        <v>0</v>
      </c>
      <c r="J70" s="70"/>
      <c r="K70" s="70"/>
      <c r="L70" s="70"/>
      <c r="M70" s="70"/>
      <c r="N70" s="70"/>
      <c r="O70" s="71"/>
      <c r="P70" s="60"/>
      <c r="Q70" s="242"/>
      <c r="R70" s="242" t="str">
        <f t="shared" si="0"/>
        <v/>
      </c>
      <c r="S70" s="243" t="str">
        <f t="shared" si="1"/>
        <v>-</v>
      </c>
      <c r="T70" s="61"/>
      <c r="U70" s="61"/>
      <c r="V70" s="61"/>
      <c r="W70" s="61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</row>
    <row r="71" spans="1:79" s="62" customFormat="1" ht="24.95" customHeight="1">
      <c r="A71" s="58"/>
      <c r="B71" s="161"/>
      <c r="C71" s="161"/>
      <c r="D71" s="161"/>
      <c r="E71" s="82"/>
      <c r="F71" s="59"/>
      <c r="G71" s="59"/>
      <c r="H71" s="59"/>
      <c r="I71" s="59"/>
      <c r="J71" s="59"/>
      <c r="K71" s="59"/>
      <c r="L71" s="43"/>
      <c r="M71" s="43"/>
      <c r="N71" s="43"/>
      <c r="O71" s="16"/>
      <c r="P71" s="60"/>
      <c r="Q71" s="242"/>
      <c r="R71" s="242" t="str">
        <f t="shared" ref="R71:R134" si="2">CONCATENATE(F71,J71)</f>
        <v/>
      </c>
      <c r="S71" s="243" t="str">
        <f t="shared" ref="S71:S134" si="3">IF(G71&gt;=I71,"-","err")</f>
        <v>-</v>
      </c>
      <c r="T71" s="61"/>
      <c r="U71" s="61"/>
      <c r="V71" s="61"/>
      <c r="W71" s="61"/>
    </row>
    <row r="72" spans="1:79" s="62" customFormat="1" ht="24.95" customHeight="1">
      <c r="A72" s="92"/>
      <c r="B72" s="162"/>
      <c r="C72" s="162"/>
      <c r="D72" s="162"/>
      <c r="E72" s="96"/>
      <c r="F72" s="93"/>
      <c r="G72" s="93"/>
      <c r="H72" s="93"/>
      <c r="I72" s="93"/>
      <c r="J72" s="93"/>
      <c r="K72" s="93"/>
      <c r="L72" s="94"/>
      <c r="M72" s="94"/>
      <c r="N72" s="94"/>
      <c r="O72" s="95"/>
      <c r="P72" s="60"/>
      <c r="Q72" s="242"/>
      <c r="R72" s="242" t="str">
        <f t="shared" si="2"/>
        <v/>
      </c>
      <c r="S72" s="243" t="str">
        <f t="shared" si="3"/>
        <v>-</v>
      </c>
      <c r="T72" s="61"/>
      <c r="U72" s="61"/>
      <c r="V72" s="61"/>
      <c r="W72" s="61"/>
    </row>
    <row r="73" spans="1:79" s="62" customFormat="1" ht="24.95" customHeight="1">
      <c r="A73" s="63"/>
      <c r="B73" s="163"/>
      <c r="C73" s="163"/>
      <c r="D73" s="163"/>
      <c r="E73" s="83"/>
      <c r="F73" s="65"/>
      <c r="G73" s="65"/>
      <c r="H73" s="65"/>
      <c r="I73" s="65"/>
      <c r="J73" s="65"/>
      <c r="K73" s="65"/>
      <c r="L73" s="44"/>
      <c r="M73" s="44">
        <v>0</v>
      </c>
      <c r="N73" s="44">
        <v>0</v>
      </c>
      <c r="O73" s="17"/>
      <c r="P73" s="60"/>
      <c r="Q73" s="242"/>
      <c r="R73" s="242" t="str">
        <f t="shared" si="2"/>
        <v/>
      </c>
      <c r="S73" s="243" t="str">
        <f t="shared" si="3"/>
        <v>-</v>
      </c>
      <c r="T73" s="61"/>
      <c r="U73" s="61"/>
      <c r="V73" s="61"/>
      <c r="W73" s="61"/>
    </row>
    <row r="74" spans="1:79" s="62" customFormat="1" ht="24.95" customHeight="1">
      <c r="A74" s="63"/>
      <c r="B74" s="163"/>
      <c r="C74" s="163"/>
      <c r="D74" s="163"/>
      <c r="E74" s="84"/>
      <c r="F74" s="65"/>
      <c r="G74" s="65"/>
      <c r="H74" s="65"/>
      <c r="I74" s="65"/>
      <c r="J74" s="65"/>
      <c r="K74" s="65"/>
      <c r="L74" s="44"/>
      <c r="M74" s="44">
        <v>0</v>
      </c>
      <c r="N74" s="44">
        <v>0</v>
      </c>
      <c r="O74" s="17"/>
      <c r="P74" s="60"/>
      <c r="Q74" s="242"/>
      <c r="R74" s="242" t="str">
        <f t="shared" si="2"/>
        <v/>
      </c>
      <c r="S74" s="243" t="str">
        <f t="shared" si="3"/>
        <v>-</v>
      </c>
      <c r="T74" s="61"/>
      <c r="U74" s="61"/>
      <c r="V74" s="61"/>
      <c r="W74" s="61"/>
    </row>
    <row r="75" spans="1:79" s="62" customFormat="1" ht="24.95" customHeight="1">
      <c r="A75" s="63"/>
      <c r="B75" s="163"/>
      <c r="C75" s="163"/>
      <c r="D75" s="163"/>
      <c r="E75" s="89"/>
      <c r="F75" s="65"/>
      <c r="G75" s="65"/>
      <c r="H75" s="65"/>
      <c r="I75" s="65"/>
      <c r="J75" s="65"/>
      <c r="K75" s="65"/>
      <c r="L75" s="44"/>
      <c r="M75" s="44">
        <v>0</v>
      </c>
      <c r="N75" s="44">
        <v>0</v>
      </c>
      <c r="O75" s="17"/>
      <c r="P75" s="60"/>
      <c r="Q75" s="242"/>
      <c r="R75" s="242" t="str">
        <f t="shared" si="2"/>
        <v/>
      </c>
      <c r="S75" s="243" t="str">
        <f t="shared" si="3"/>
        <v>-</v>
      </c>
      <c r="T75" s="61"/>
      <c r="U75" s="61"/>
      <c r="V75" s="61"/>
      <c r="W75" s="61"/>
    </row>
    <row r="76" spans="1:79" s="62" customFormat="1" ht="24.95" customHeight="1">
      <c r="A76" s="63"/>
      <c r="B76" s="163"/>
      <c r="C76" s="163"/>
      <c r="D76" s="163"/>
      <c r="E76" s="89"/>
      <c r="F76" s="65"/>
      <c r="G76" s="65"/>
      <c r="H76" s="65"/>
      <c r="I76" s="65"/>
      <c r="J76" s="65"/>
      <c r="K76" s="65"/>
      <c r="L76" s="44"/>
      <c r="M76" s="44">
        <v>0</v>
      </c>
      <c r="N76" s="44">
        <v>0</v>
      </c>
      <c r="O76" s="17"/>
      <c r="P76" s="60"/>
      <c r="Q76" s="242"/>
      <c r="R76" s="242" t="str">
        <f t="shared" si="2"/>
        <v/>
      </c>
      <c r="S76" s="243" t="str">
        <f t="shared" si="3"/>
        <v>-</v>
      </c>
      <c r="T76" s="61"/>
      <c r="U76" s="61"/>
      <c r="V76" s="61"/>
      <c r="W76" s="61"/>
    </row>
    <row r="77" spans="1:79" s="62" customFormat="1" ht="24.95" customHeight="1">
      <c r="A77" s="63"/>
      <c r="B77" s="163"/>
      <c r="C77" s="163"/>
      <c r="D77" s="163"/>
      <c r="E77" s="89"/>
      <c r="F77" s="65"/>
      <c r="G77" s="65"/>
      <c r="H77" s="65"/>
      <c r="I77" s="65"/>
      <c r="J77" s="65"/>
      <c r="K77" s="65"/>
      <c r="L77" s="44"/>
      <c r="M77" s="44">
        <v>0</v>
      </c>
      <c r="N77" s="44">
        <v>0</v>
      </c>
      <c r="O77" s="17"/>
      <c r="P77" s="60"/>
      <c r="Q77" s="242"/>
      <c r="R77" s="242" t="str">
        <f t="shared" si="2"/>
        <v/>
      </c>
      <c r="S77" s="243" t="str">
        <f t="shared" si="3"/>
        <v>-</v>
      </c>
      <c r="T77" s="61"/>
      <c r="U77" s="61"/>
      <c r="V77" s="61"/>
      <c r="W77" s="61"/>
    </row>
    <row r="78" spans="1:79" s="62" customFormat="1" ht="24.95" customHeight="1">
      <c r="A78" s="63"/>
      <c r="B78" s="163"/>
      <c r="C78" s="163"/>
      <c r="D78" s="163"/>
      <c r="E78" s="89"/>
      <c r="F78" s="65"/>
      <c r="G78" s="65"/>
      <c r="H78" s="65"/>
      <c r="I78" s="65"/>
      <c r="J78" s="65"/>
      <c r="K78" s="65"/>
      <c r="L78" s="44"/>
      <c r="M78" s="44"/>
      <c r="N78" s="44"/>
      <c r="O78" s="17"/>
      <c r="P78" s="60"/>
      <c r="Q78" s="242"/>
      <c r="R78" s="242" t="str">
        <f t="shared" si="2"/>
        <v/>
      </c>
      <c r="S78" s="243" t="str">
        <f t="shared" si="3"/>
        <v>-</v>
      </c>
      <c r="T78" s="61"/>
      <c r="U78" s="61"/>
      <c r="V78" s="61"/>
      <c r="W78" s="61"/>
    </row>
    <row r="79" spans="1:79" s="62" customFormat="1" ht="24.95" customHeight="1">
      <c r="A79" s="63"/>
      <c r="B79" s="163"/>
      <c r="C79" s="163"/>
      <c r="D79" s="163"/>
      <c r="E79" s="89"/>
      <c r="F79" s="65"/>
      <c r="G79" s="65"/>
      <c r="H79" s="65"/>
      <c r="I79" s="65"/>
      <c r="J79" s="65"/>
      <c r="K79" s="65"/>
      <c r="L79" s="44"/>
      <c r="M79" s="44">
        <v>0</v>
      </c>
      <c r="N79" s="44">
        <v>0</v>
      </c>
      <c r="O79" s="17"/>
      <c r="P79" s="60"/>
      <c r="Q79" s="242"/>
      <c r="R79" s="242" t="str">
        <f t="shared" si="2"/>
        <v/>
      </c>
      <c r="S79" s="243" t="str">
        <f t="shared" si="3"/>
        <v>-</v>
      </c>
      <c r="T79" s="61"/>
      <c r="U79" s="61"/>
      <c r="V79" s="61"/>
      <c r="W79" s="61"/>
    </row>
    <row r="80" spans="1:79" s="62" customFormat="1" ht="24.95" customHeight="1">
      <c r="A80" s="63"/>
      <c r="B80" s="163"/>
      <c r="C80" s="163"/>
      <c r="D80" s="163"/>
      <c r="E80" s="89"/>
      <c r="F80" s="65"/>
      <c r="G80" s="65"/>
      <c r="H80" s="65"/>
      <c r="I80" s="65"/>
      <c r="J80" s="65"/>
      <c r="K80" s="65"/>
      <c r="L80" s="44"/>
      <c r="M80" s="44">
        <v>0</v>
      </c>
      <c r="N80" s="44">
        <v>0</v>
      </c>
      <c r="O80" s="17"/>
      <c r="P80" s="60"/>
      <c r="Q80" s="242"/>
      <c r="R80" s="242" t="str">
        <f t="shared" si="2"/>
        <v/>
      </c>
      <c r="S80" s="243" t="str">
        <f t="shared" si="3"/>
        <v>-</v>
      </c>
      <c r="T80" s="61"/>
      <c r="U80" s="61"/>
      <c r="V80" s="61"/>
      <c r="W80" s="61"/>
    </row>
    <row r="81" spans="1:79" s="62" customFormat="1" ht="24.95" customHeight="1">
      <c r="A81" s="63"/>
      <c r="B81" s="163"/>
      <c r="C81" s="163"/>
      <c r="D81" s="163"/>
      <c r="E81" s="89"/>
      <c r="F81" s="65"/>
      <c r="G81" s="65"/>
      <c r="H81" s="65"/>
      <c r="I81" s="65"/>
      <c r="J81" s="65"/>
      <c r="K81" s="65"/>
      <c r="L81" s="44"/>
      <c r="M81" s="44">
        <v>0</v>
      </c>
      <c r="N81" s="44">
        <v>0</v>
      </c>
      <c r="O81" s="17"/>
      <c r="P81" s="60"/>
      <c r="Q81" s="242"/>
      <c r="R81" s="242" t="str">
        <f t="shared" si="2"/>
        <v/>
      </c>
      <c r="S81" s="243" t="str">
        <f t="shared" si="3"/>
        <v>-</v>
      </c>
      <c r="T81" s="61"/>
      <c r="U81" s="61"/>
      <c r="V81" s="61"/>
      <c r="W81" s="61"/>
    </row>
    <row r="82" spans="1:79" s="62" customFormat="1" ht="24.95" customHeight="1">
      <c r="A82" s="63"/>
      <c r="B82" s="163"/>
      <c r="C82" s="163"/>
      <c r="D82" s="163"/>
      <c r="E82" s="64"/>
      <c r="F82" s="65"/>
      <c r="G82" s="65"/>
      <c r="H82" s="65"/>
      <c r="I82" s="65"/>
      <c r="J82" s="65"/>
      <c r="K82" s="65"/>
      <c r="L82" s="44"/>
      <c r="M82" s="44"/>
      <c r="N82" s="44"/>
      <c r="O82" s="17"/>
      <c r="P82" s="60"/>
      <c r="Q82" s="242"/>
      <c r="R82" s="242" t="str">
        <f t="shared" si="2"/>
        <v/>
      </c>
      <c r="S82" s="243" t="str">
        <f t="shared" si="3"/>
        <v>-</v>
      </c>
      <c r="T82" s="61"/>
      <c r="U82" s="61"/>
      <c r="V82" s="61"/>
      <c r="W82" s="61"/>
    </row>
    <row r="83" spans="1:79" s="62" customFormat="1" ht="35.1" customHeight="1">
      <c r="A83" s="63"/>
      <c r="B83" s="163"/>
      <c r="C83" s="163"/>
      <c r="D83" s="163"/>
      <c r="E83" s="64"/>
      <c r="F83" s="65"/>
      <c r="G83" s="65"/>
      <c r="H83" s="65"/>
      <c r="I83" s="65"/>
      <c r="J83" s="65"/>
      <c r="K83" s="65"/>
      <c r="L83" s="44"/>
      <c r="M83" s="44"/>
      <c r="N83" s="44"/>
      <c r="O83" s="17"/>
      <c r="P83" s="60"/>
      <c r="Q83" s="242"/>
      <c r="R83" s="242" t="str">
        <f t="shared" si="2"/>
        <v/>
      </c>
      <c r="S83" s="243" t="str">
        <f t="shared" si="3"/>
        <v>-</v>
      </c>
      <c r="T83" s="61"/>
      <c r="U83" s="61"/>
      <c r="V83" s="61"/>
      <c r="W83" s="61"/>
    </row>
    <row r="84" spans="1:79" s="62" customFormat="1" ht="35.1" customHeight="1">
      <c r="A84" s="63"/>
      <c r="B84" s="163"/>
      <c r="C84" s="163"/>
      <c r="D84" s="163"/>
      <c r="E84" s="64"/>
      <c r="F84" s="65"/>
      <c r="G84" s="65"/>
      <c r="H84" s="65"/>
      <c r="I84" s="65"/>
      <c r="J84" s="65"/>
      <c r="K84" s="65"/>
      <c r="L84" s="44"/>
      <c r="M84" s="44"/>
      <c r="N84" s="44"/>
      <c r="O84" s="17"/>
      <c r="P84" s="60"/>
      <c r="Q84" s="242"/>
      <c r="R84" s="242" t="str">
        <f t="shared" si="2"/>
        <v/>
      </c>
      <c r="S84" s="243" t="str">
        <f t="shared" si="3"/>
        <v>-</v>
      </c>
      <c r="T84" s="61"/>
      <c r="U84" s="61"/>
      <c r="V84" s="61"/>
      <c r="W84" s="61"/>
    </row>
    <row r="85" spans="1:79" s="62" customFormat="1" ht="35.1" customHeight="1">
      <c r="A85" s="63"/>
      <c r="B85" s="163"/>
      <c r="C85" s="163"/>
      <c r="D85" s="163"/>
      <c r="E85" s="64"/>
      <c r="F85" s="65"/>
      <c r="G85" s="65"/>
      <c r="H85" s="65"/>
      <c r="I85" s="65"/>
      <c r="J85" s="65"/>
      <c r="K85" s="65"/>
      <c r="L85" s="44"/>
      <c r="M85" s="44"/>
      <c r="N85" s="44"/>
      <c r="O85" s="17"/>
      <c r="P85" s="60"/>
      <c r="Q85" s="242"/>
      <c r="R85" s="242" t="str">
        <f t="shared" si="2"/>
        <v/>
      </c>
      <c r="S85" s="243" t="str">
        <f t="shared" si="3"/>
        <v>-</v>
      </c>
      <c r="T85" s="61"/>
      <c r="U85" s="61"/>
      <c r="V85" s="61"/>
      <c r="W85" s="61"/>
    </row>
    <row r="86" spans="1:79" s="62" customFormat="1" ht="35.1" customHeight="1">
      <c r="A86" s="63"/>
      <c r="B86" s="163"/>
      <c r="C86" s="163"/>
      <c r="D86" s="163"/>
      <c r="E86" s="64"/>
      <c r="F86" s="65"/>
      <c r="G86" s="65"/>
      <c r="H86" s="65"/>
      <c r="I86" s="65"/>
      <c r="J86" s="65"/>
      <c r="K86" s="65"/>
      <c r="L86" s="44"/>
      <c r="M86" s="44"/>
      <c r="N86" s="44"/>
      <c r="O86" s="17"/>
      <c r="P86" s="60"/>
      <c r="Q86" s="242"/>
      <c r="R86" s="242" t="str">
        <f t="shared" si="2"/>
        <v/>
      </c>
      <c r="S86" s="243" t="str">
        <f t="shared" si="3"/>
        <v>-</v>
      </c>
      <c r="T86" s="61"/>
      <c r="U86" s="61"/>
      <c r="V86" s="61"/>
      <c r="W86" s="61"/>
    </row>
    <row r="87" spans="1:79" s="62" customFormat="1" ht="35.1" customHeight="1">
      <c r="A87" s="63"/>
      <c r="B87" s="163"/>
      <c r="C87" s="163"/>
      <c r="D87" s="163"/>
      <c r="E87" s="64"/>
      <c r="F87" s="65"/>
      <c r="G87" s="65"/>
      <c r="H87" s="65"/>
      <c r="I87" s="65"/>
      <c r="J87" s="65"/>
      <c r="K87" s="65"/>
      <c r="L87" s="44"/>
      <c r="M87" s="44"/>
      <c r="N87" s="44"/>
      <c r="O87" s="17"/>
      <c r="P87" s="60"/>
      <c r="Q87" s="242"/>
      <c r="R87" s="242" t="str">
        <f t="shared" si="2"/>
        <v/>
      </c>
      <c r="S87" s="243" t="str">
        <f t="shared" si="3"/>
        <v>-</v>
      </c>
      <c r="T87" s="61"/>
      <c r="U87" s="61"/>
      <c r="V87" s="61"/>
      <c r="W87" s="61"/>
    </row>
    <row r="88" spans="1:79" s="62" customFormat="1" ht="35.1" customHeight="1">
      <c r="A88" s="63"/>
      <c r="B88" s="163"/>
      <c r="C88" s="163"/>
      <c r="D88" s="163"/>
      <c r="E88" s="64"/>
      <c r="F88" s="65"/>
      <c r="G88" s="65"/>
      <c r="H88" s="65"/>
      <c r="I88" s="65"/>
      <c r="J88" s="65"/>
      <c r="K88" s="65"/>
      <c r="L88" s="44"/>
      <c r="M88" s="44"/>
      <c r="N88" s="44"/>
      <c r="O88" s="17"/>
      <c r="P88" s="60"/>
      <c r="Q88" s="242"/>
      <c r="R88" s="242" t="str">
        <f t="shared" si="2"/>
        <v/>
      </c>
      <c r="S88" s="243" t="str">
        <f t="shared" si="3"/>
        <v>-</v>
      </c>
      <c r="T88" s="61"/>
      <c r="U88" s="61"/>
      <c r="V88" s="61"/>
      <c r="W88" s="61"/>
    </row>
    <row r="89" spans="1:79" s="62" customFormat="1" ht="35.1" customHeight="1">
      <c r="A89" s="63"/>
      <c r="B89" s="163"/>
      <c r="C89" s="163"/>
      <c r="D89" s="163"/>
      <c r="E89" s="64"/>
      <c r="F89" s="65"/>
      <c r="G89" s="65"/>
      <c r="H89" s="65"/>
      <c r="I89" s="65"/>
      <c r="J89" s="65"/>
      <c r="K89" s="65"/>
      <c r="L89" s="44"/>
      <c r="M89" s="44"/>
      <c r="N89" s="44"/>
      <c r="O89" s="17"/>
      <c r="P89" s="60"/>
      <c r="Q89" s="242"/>
      <c r="R89" s="242" t="str">
        <f t="shared" si="2"/>
        <v/>
      </c>
      <c r="S89" s="243" t="str">
        <f t="shared" si="3"/>
        <v>-</v>
      </c>
      <c r="T89" s="61"/>
      <c r="U89" s="61"/>
      <c r="V89" s="61"/>
      <c r="W89" s="61"/>
    </row>
    <row r="90" spans="1:79" s="62" customFormat="1" ht="35.1" customHeight="1">
      <c r="A90" s="63"/>
      <c r="B90" s="163"/>
      <c r="C90" s="163"/>
      <c r="D90" s="163"/>
      <c r="E90" s="64"/>
      <c r="F90" s="65"/>
      <c r="G90" s="65"/>
      <c r="H90" s="65"/>
      <c r="I90" s="65"/>
      <c r="J90" s="65"/>
      <c r="K90" s="65"/>
      <c r="L90" s="44"/>
      <c r="M90" s="44"/>
      <c r="N90" s="44"/>
      <c r="O90" s="17"/>
      <c r="P90" s="60"/>
      <c r="Q90" s="242"/>
      <c r="R90" s="242" t="str">
        <f t="shared" si="2"/>
        <v/>
      </c>
      <c r="S90" s="243" t="str">
        <f t="shared" si="3"/>
        <v>-</v>
      </c>
      <c r="T90" s="61"/>
      <c r="U90" s="61"/>
      <c r="V90" s="61"/>
      <c r="W90" s="61"/>
    </row>
    <row r="91" spans="1:79" s="73" customFormat="1" ht="35.1" customHeight="1">
      <c r="A91" s="66" t="s">
        <v>41</v>
      </c>
      <c r="B91" s="67"/>
      <c r="C91" s="67"/>
      <c r="D91" s="67"/>
      <c r="E91" s="67"/>
      <c r="F91" s="68"/>
      <c r="G91" s="69"/>
      <c r="H91" s="69"/>
      <c r="I91" s="69">
        <f>SUM(I71:I90)</f>
        <v>0</v>
      </c>
      <c r="J91" s="70"/>
      <c r="K91" s="70"/>
      <c r="L91" s="70"/>
      <c r="M91" s="70"/>
      <c r="N91" s="70"/>
      <c r="O91" s="71"/>
      <c r="P91" s="60"/>
      <c r="Q91" s="242"/>
      <c r="R91" s="242" t="str">
        <f t="shared" si="2"/>
        <v/>
      </c>
      <c r="S91" s="243" t="str">
        <f t="shared" si="3"/>
        <v>-</v>
      </c>
      <c r="T91" s="61"/>
      <c r="U91" s="61"/>
      <c r="V91" s="61"/>
      <c r="W91" s="61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</row>
    <row r="92" spans="1:79" s="62" customFormat="1" ht="35.1" customHeight="1">
      <c r="A92" s="58"/>
      <c r="B92" s="161"/>
      <c r="C92" s="161"/>
      <c r="D92" s="161"/>
      <c r="E92" s="82"/>
      <c r="F92" s="59"/>
      <c r="G92" s="59"/>
      <c r="H92" s="59"/>
      <c r="I92" s="59"/>
      <c r="J92" s="59"/>
      <c r="K92" s="59"/>
      <c r="L92" s="43"/>
      <c r="M92" s="43"/>
      <c r="N92" s="43"/>
      <c r="O92" s="16"/>
      <c r="P92" s="60"/>
      <c r="Q92" s="242"/>
      <c r="R92" s="242" t="str">
        <f t="shared" si="2"/>
        <v/>
      </c>
      <c r="S92" s="243" t="str">
        <f t="shared" si="3"/>
        <v>-</v>
      </c>
      <c r="T92" s="61"/>
      <c r="U92" s="61"/>
      <c r="V92" s="61"/>
      <c r="W92" s="61"/>
    </row>
    <row r="93" spans="1:79" s="62" customFormat="1" ht="35.1" customHeight="1">
      <c r="A93" s="92"/>
      <c r="B93" s="162"/>
      <c r="C93" s="162"/>
      <c r="D93" s="162"/>
      <c r="E93" s="96"/>
      <c r="F93" s="93"/>
      <c r="G93" s="93"/>
      <c r="H93" s="93"/>
      <c r="I93" s="93"/>
      <c r="J93" s="93"/>
      <c r="K93" s="93"/>
      <c r="L93" s="94"/>
      <c r="M93" s="94"/>
      <c r="N93" s="94"/>
      <c r="O93" s="95"/>
      <c r="P93" s="60"/>
      <c r="Q93" s="242"/>
      <c r="R93" s="242" t="str">
        <f t="shared" si="2"/>
        <v/>
      </c>
      <c r="S93" s="243" t="str">
        <f t="shared" si="3"/>
        <v>-</v>
      </c>
      <c r="T93" s="61"/>
      <c r="U93" s="61"/>
      <c r="V93" s="61"/>
      <c r="W93" s="61"/>
    </row>
    <row r="94" spans="1:79" s="62" customFormat="1" ht="35.1" customHeight="1">
      <c r="A94" s="63"/>
      <c r="B94" s="163"/>
      <c r="C94" s="163"/>
      <c r="D94" s="163"/>
      <c r="E94" s="83"/>
      <c r="F94" s="65"/>
      <c r="G94" s="65"/>
      <c r="H94" s="65"/>
      <c r="I94" s="65"/>
      <c r="J94" s="65"/>
      <c r="K94" s="65"/>
      <c r="L94" s="44">
        <v>0</v>
      </c>
      <c r="M94" s="44">
        <v>0</v>
      </c>
      <c r="N94" s="44">
        <v>0</v>
      </c>
      <c r="O94" s="17"/>
      <c r="P94" s="60"/>
      <c r="Q94" s="242"/>
      <c r="R94" s="242" t="str">
        <f t="shared" si="2"/>
        <v/>
      </c>
      <c r="S94" s="243" t="str">
        <f t="shared" si="3"/>
        <v>-</v>
      </c>
      <c r="T94" s="61"/>
      <c r="U94" s="61"/>
      <c r="V94" s="61"/>
      <c r="W94" s="61"/>
    </row>
    <row r="95" spans="1:79" s="62" customFormat="1" ht="35.1" customHeight="1">
      <c r="A95" s="63"/>
      <c r="B95" s="163"/>
      <c r="C95" s="163"/>
      <c r="D95" s="163"/>
      <c r="E95" s="84"/>
      <c r="F95" s="65"/>
      <c r="G95" s="65"/>
      <c r="H95" s="65"/>
      <c r="I95" s="65"/>
      <c r="J95" s="65"/>
      <c r="K95" s="65"/>
      <c r="L95" s="44">
        <v>0</v>
      </c>
      <c r="M95" s="44">
        <v>0</v>
      </c>
      <c r="N95" s="44">
        <v>0</v>
      </c>
      <c r="O95" s="17"/>
      <c r="P95" s="60"/>
      <c r="Q95" s="242"/>
      <c r="R95" s="242" t="str">
        <f t="shared" si="2"/>
        <v/>
      </c>
      <c r="S95" s="243" t="str">
        <f t="shared" si="3"/>
        <v>-</v>
      </c>
      <c r="T95" s="61"/>
      <c r="U95" s="61"/>
      <c r="V95" s="61"/>
      <c r="W95" s="61"/>
    </row>
    <row r="96" spans="1:79" s="62" customFormat="1" ht="35.1" customHeight="1">
      <c r="A96" s="63"/>
      <c r="B96" s="163"/>
      <c r="C96" s="163"/>
      <c r="D96" s="163"/>
      <c r="E96" s="89"/>
      <c r="F96" s="65"/>
      <c r="G96" s="65"/>
      <c r="H96" s="65"/>
      <c r="I96" s="65"/>
      <c r="J96" s="65"/>
      <c r="K96" s="65"/>
      <c r="L96" s="44">
        <v>0</v>
      </c>
      <c r="M96" s="44">
        <v>0</v>
      </c>
      <c r="N96" s="44">
        <v>0</v>
      </c>
      <c r="O96" s="17"/>
      <c r="P96" s="60"/>
      <c r="Q96" s="242"/>
      <c r="R96" s="242" t="str">
        <f t="shared" si="2"/>
        <v/>
      </c>
      <c r="S96" s="243" t="str">
        <f t="shared" si="3"/>
        <v>-</v>
      </c>
      <c r="T96" s="61"/>
      <c r="U96" s="61"/>
      <c r="V96" s="61"/>
      <c r="W96" s="61"/>
    </row>
    <row r="97" spans="1:79" s="62" customFormat="1" ht="35.1" customHeight="1">
      <c r="A97" s="63"/>
      <c r="B97" s="163"/>
      <c r="C97" s="163"/>
      <c r="D97" s="163"/>
      <c r="E97" s="89"/>
      <c r="F97" s="65"/>
      <c r="G97" s="65"/>
      <c r="H97" s="65"/>
      <c r="I97" s="65"/>
      <c r="J97" s="65"/>
      <c r="K97" s="65"/>
      <c r="L97" s="44">
        <v>0</v>
      </c>
      <c r="M97" s="44">
        <v>0</v>
      </c>
      <c r="N97" s="44">
        <v>0</v>
      </c>
      <c r="O97" s="17"/>
      <c r="P97" s="60"/>
      <c r="Q97" s="242"/>
      <c r="R97" s="242" t="str">
        <f t="shared" si="2"/>
        <v/>
      </c>
      <c r="S97" s="243" t="str">
        <f t="shared" si="3"/>
        <v>-</v>
      </c>
      <c r="T97" s="61"/>
      <c r="U97" s="61"/>
      <c r="V97" s="61"/>
      <c r="W97" s="61"/>
    </row>
    <row r="98" spans="1:79" s="62" customFormat="1" ht="35.1" customHeight="1">
      <c r="A98" s="63"/>
      <c r="B98" s="163"/>
      <c r="C98" s="163"/>
      <c r="D98" s="163"/>
      <c r="E98" s="89"/>
      <c r="F98" s="65"/>
      <c r="G98" s="65"/>
      <c r="H98" s="65"/>
      <c r="I98" s="65"/>
      <c r="J98" s="65"/>
      <c r="K98" s="65"/>
      <c r="L98" s="44"/>
      <c r="M98" s="44"/>
      <c r="N98" s="44"/>
      <c r="O98" s="17"/>
      <c r="P98" s="60"/>
      <c r="Q98" s="242"/>
      <c r="R98" s="242" t="str">
        <f t="shared" si="2"/>
        <v/>
      </c>
      <c r="S98" s="243" t="str">
        <f t="shared" si="3"/>
        <v>-</v>
      </c>
      <c r="T98" s="61"/>
      <c r="U98" s="61"/>
      <c r="V98" s="61"/>
      <c r="W98" s="61"/>
    </row>
    <row r="99" spans="1:79" s="62" customFormat="1" ht="35.1" customHeight="1">
      <c r="A99" s="63"/>
      <c r="B99" s="163"/>
      <c r="C99" s="163"/>
      <c r="D99" s="163"/>
      <c r="E99" s="89"/>
      <c r="F99" s="65"/>
      <c r="G99" s="65"/>
      <c r="H99" s="65"/>
      <c r="I99" s="65"/>
      <c r="J99" s="65"/>
      <c r="K99" s="65"/>
      <c r="L99" s="44"/>
      <c r="M99" s="44"/>
      <c r="N99" s="44"/>
      <c r="O99" s="17"/>
      <c r="P99" s="60"/>
      <c r="Q99" s="242"/>
      <c r="R99" s="242" t="str">
        <f t="shared" si="2"/>
        <v/>
      </c>
      <c r="S99" s="243" t="str">
        <f t="shared" si="3"/>
        <v>-</v>
      </c>
      <c r="T99" s="61"/>
      <c r="U99" s="61"/>
      <c r="V99" s="61"/>
      <c r="W99" s="61"/>
    </row>
    <row r="100" spans="1:79" s="62" customFormat="1" ht="35.1" customHeight="1">
      <c r="A100" s="63"/>
      <c r="B100" s="163"/>
      <c r="C100" s="163"/>
      <c r="D100" s="163"/>
      <c r="E100" s="89"/>
      <c r="F100" s="65"/>
      <c r="G100" s="65"/>
      <c r="H100" s="65"/>
      <c r="I100" s="65"/>
      <c r="J100" s="65"/>
      <c r="K100" s="65"/>
      <c r="L100" s="44"/>
      <c r="M100" s="44"/>
      <c r="N100" s="44"/>
      <c r="O100" s="17"/>
      <c r="P100" s="60"/>
      <c r="Q100" s="242"/>
      <c r="R100" s="242" t="str">
        <f t="shared" si="2"/>
        <v/>
      </c>
      <c r="S100" s="243" t="str">
        <f t="shared" si="3"/>
        <v>-</v>
      </c>
      <c r="T100" s="61"/>
      <c r="U100" s="61"/>
      <c r="V100" s="61"/>
      <c r="W100" s="61"/>
    </row>
    <row r="101" spans="1:79" s="62" customFormat="1" ht="35.1" customHeight="1">
      <c r="A101" s="63"/>
      <c r="B101" s="163"/>
      <c r="C101" s="163"/>
      <c r="D101" s="163"/>
      <c r="E101" s="89"/>
      <c r="F101" s="65"/>
      <c r="G101" s="65"/>
      <c r="H101" s="65"/>
      <c r="I101" s="65"/>
      <c r="J101" s="65"/>
      <c r="K101" s="65"/>
      <c r="L101" s="44">
        <v>0</v>
      </c>
      <c r="M101" s="44">
        <v>0</v>
      </c>
      <c r="N101" s="44">
        <v>0</v>
      </c>
      <c r="O101" s="17"/>
      <c r="P101" s="60"/>
      <c r="Q101" s="242"/>
      <c r="R101" s="242" t="str">
        <f t="shared" si="2"/>
        <v/>
      </c>
      <c r="S101" s="243" t="str">
        <f t="shared" si="3"/>
        <v>-</v>
      </c>
      <c r="T101" s="61"/>
      <c r="U101" s="61"/>
      <c r="V101" s="61"/>
      <c r="W101" s="61"/>
    </row>
    <row r="102" spans="1:79" s="62" customFormat="1" ht="35.1" customHeight="1">
      <c r="A102" s="63"/>
      <c r="B102" s="163"/>
      <c r="C102" s="163"/>
      <c r="D102" s="163"/>
      <c r="E102" s="89"/>
      <c r="F102" s="65"/>
      <c r="G102" s="65"/>
      <c r="H102" s="65"/>
      <c r="I102" s="65"/>
      <c r="J102" s="65"/>
      <c r="K102" s="65"/>
      <c r="L102" s="44">
        <v>0</v>
      </c>
      <c r="M102" s="44">
        <v>0</v>
      </c>
      <c r="N102" s="44">
        <v>0</v>
      </c>
      <c r="O102" s="17"/>
      <c r="P102" s="60"/>
      <c r="Q102" s="242"/>
      <c r="R102" s="242" t="str">
        <f t="shared" si="2"/>
        <v/>
      </c>
      <c r="S102" s="243" t="str">
        <f t="shared" si="3"/>
        <v>-</v>
      </c>
      <c r="T102" s="61"/>
      <c r="U102" s="61"/>
      <c r="V102" s="61"/>
      <c r="W102" s="61"/>
    </row>
    <row r="103" spans="1:79" s="62" customFormat="1" ht="35.1" customHeight="1">
      <c r="A103" s="63"/>
      <c r="B103" s="163"/>
      <c r="C103" s="163"/>
      <c r="D103" s="163"/>
      <c r="E103" s="64"/>
      <c r="F103" s="65"/>
      <c r="G103" s="65"/>
      <c r="H103" s="65"/>
      <c r="I103" s="65"/>
      <c r="J103" s="65"/>
      <c r="K103" s="65"/>
      <c r="L103" s="44"/>
      <c r="M103" s="44"/>
      <c r="N103" s="44"/>
      <c r="O103" s="17"/>
      <c r="P103" s="60"/>
      <c r="Q103" s="242"/>
      <c r="R103" s="242" t="str">
        <f t="shared" si="2"/>
        <v/>
      </c>
      <c r="S103" s="243" t="str">
        <f t="shared" si="3"/>
        <v>-</v>
      </c>
      <c r="T103" s="61"/>
      <c r="U103" s="61"/>
      <c r="V103" s="61"/>
      <c r="W103" s="61"/>
    </row>
    <row r="104" spans="1:79" s="62" customFormat="1" ht="35.1" customHeight="1">
      <c r="A104" s="63"/>
      <c r="B104" s="163"/>
      <c r="C104" s="163"/>
      <c r="D104" s="163"/>
      <c r="E104" s="64"/>
      <c r="F104" s="65"/>
      <c r="G104" s="65"/>
      <c r="H104" s="65"/>
      <c r="I104" s="65"/>
      <c r="J104" s="65"/>
      <c r="K104" s="65"/>
      <c r="L104" s="44"/>
      <c r="M104" s="44"/>
      <c r="N104" s="44"/>
      <c r="O104" s="17"/>
      <c r="P104" s="60"/>
      <c r="Q104" s="242"/>
      <c r="R104" s="242" t="str">
        <f t="shared" si="2"/>
        <v/>
      </c>
      <c r="S104" s="243" t="str">
        <f t="shared" si="3"/>
        <v>-</v>
      </c>
      <c r="T104" s="61"/>
      <c r="U104" s="61"/>
      <c r="V104" s="61"/>
      <c r="W104" s="61"/>
    </row>
    <row r="105" spans="1:79" s="62" customFormat="1" ht="35.1" customHeight="1">
      <c r="A105" s="63"/>
      <c r="B105" s="163"/>
      <c r="C105" s="163"/>
      <c r="D105" s="163"/>
      <c r="E105" s="64"/>
      <c r="F105" s="65"/>
      <c r="G105" s="65"/>
      <c r="H105" s="65"/>
      <c r="I105" s="65"/>
      <c r="J105" s="65"/>
      <c r="K105" s="65"/>
      <c r="L105" s="44"/>
      <c r="M105" s="44"/>
      <c r="N105" s="44"/>
      <c r="O105" s="17"/>
      <c r="P105" s="60"/>
      <c r="Q105" s="242"/>
      <c r="R105" s="242" t="str">
        <f t="shared" si="2"/>
        <v/>
      </c>
      <c r="S105" s="243" t="str">
        <f t="shared" si="3"/>
        <v>-</v>
      </c>
      <c r="T105" s="61"/>
      <c r="U105" s="61"/>
      <c r="V105" s="61"/>
      <c r="W105" s="61"/>
    </row>
    <row r="106" spans="1:79" s="62" customFormat="1" ht="35.1" customHeight="1">
      <c r="A106" s="63"/>
      <c r="B106" s="163"/>
      <c r="C106" s="163"/>
      <c r="D106" s="163"/>
      <c r="E106" s="64"/>
      <c r="F106" s="65"/>
      <c r="G106" s="65"/>
      <c r="H106" s="65"/>
      <c r="I106" s="65"/>
      <c r="J106" s="65"/>
      <c r="K106" s="65"/>
      <c r="L106" s="44"/>
      <c r="M106" s="44"/>
      <c r="N106" s="44"/>
      <c r="O106" s="17"/>
      <c r="P106" s="60"/>
      <c r="Q106" s="242"/>
      <c r="R106" s="242" t="str">
        <f t="shared" si="2"/>
        <v/>
      </c>
      <c r="S106" s="243" t="str">
        <f t="shared" si="3"/>
        <v>-</v>
      </c>
      <c r="T106" s="61"/>
      <c r="U106" s="61"/>
      <c r="V106" s="61"/>
      <c r="W106" s="61"/>
    </row>
    <row r="107" spans="1:79" s="62" customFormat="1" ht="35.1" customHeight="1">
      <c r="A107" s="63"/>
      <c r="B107" s="163"/>
      <c r="C107" s="163"/>
      <c r="D107" s="163"/>
      <c r="E107" s="64"/>
      <c r="F107" s="65"/>
      <c r="G107" s="65"/>
      <c r="H107" s="65"/>
      <c r="I107" s="65"/>
      <c r="J107" s="65"/>
      <c r="K107" s="65"/>
      <c r="L107" s="44"/>
      <c r="M107" s="44"/>
      <c r="N107" s="44"/>
      <c r="O107" s="17"/>
      <c r="P107" s="60"/>
      <c r="Q107" s="242"/>
      <c r="R107" s="242" t="str">
        <f t="shared" si="2"/>
        <v/>
      </c>
      <c r="S107" s="243" t="str">
        <f t="shared" si="3"/>
        <v>-</v>
      </c>
      <c r="T107" s="61"/>
      <c r="U107" s="61"/>
      <c r="V107" s="61"/>
      <c r="W107" s="61"/>
    </row>
    <row r="108" spans="1:79" s="62" customFormat="1" ht="35.1" customHeight="1">
      <c r="A108" s="63"/>
      <c r="B108" s="163"/>
      <c r="C108" s="163"/>
      <c r="D108" s="163"/>
      <c r="E108" s="64"/>
      <c r="F108" s="65"/>
      <c r="G108" s="65"/>
      <c r="H108" s="65"/>
      <c r="I108" s="65"/>
      <c r="J108" s="65"/>
      <c r="K108" s="65"/>
      <c r="L108" s="44"/>
      <c r="M108" s="44"/>
      <c r="N108" s="44"/>
      <c r="O108" s="17"/>
      <c r="P108" s="60"/>
      <c r="Q108" s="242"/>
      <c r="R108" s="242" t="str">
        <f t="shared" si="2"/>
        <v/>
      </c>
      <c r="S108" s="243" t="str">
        <f t="shared" si="3"/>
        <v>-</v>
      </c>
      <c r="T108" s="61"/>
      <c r="U108" s="61"/>
      <c r="V108" s="61"/>
      <c r="W108" s="61"/>
    </row>
    <row r="109" spans="1:79" s="62" customFormat="1" ht="35.1" customHeight="1">
      <c r="A109" s="63"/>
      <c r="B109" s="163"/>
      <c r="C109" s="163"/>
      <c r="D109" s="163"/>
      <c r="E109" s="64"/>
      <c r="F109" s="65"/>
      <c r="G109" s="65"/>
      <c r="H109" s="65"/>
      <c r="I109" s="65"/>
      <c r="J109" s="65"/>
      <c r="K109" s="65"/>
      <c r="L109" s="44"/>
      <c r="M109" s="44"/>
      <c r="N109" s="44"/>
      <c r="O109" s="17"/>
      <c r="P109" s="60"/>
      <c r="Q109" s="242"/>
      <c r="R109" s="242" t="str">
        <f t="shared" si="2"/>
        <v/>
      </c>
      <c r="S109" s="243" t="str">
        <f t="shared" si="3"/>
        <v>-</v>
      </c>
      <c r="T109" s="61"/>
      <c r="U109" s="61"/>
      <c r="V109" s="61"/>
      <c r="W109" s="61"/>
    </row>
    <row r="110" spans="1:79" s="62" customFormat="1" ht="35.1" customHeight="1">
      <c r="A110" s="63"/>
      <c r="B110" s="163"/>
      <c r="C110" s="163"/>
      <c r="D110" s="163"/>
      <c r="E110" s="64"/>
      <c r="F110" s="65"/>
      <c r="G110" s="65"/>
      <c r="H110" s="65"/>
      <c r="I110" s="65"/>
      <c r="J110" s="65"/>
      <c r="K110" s="65"/>
      <c r="L110" s="44"/>
      <c r="M110" s="44"/>
      <c r="N110" s="44"/>
      <c r="O110" s="17"/>
      <c r="P110" s="60"/>
      <c r="Q110" s="242"/>
      <c r="R110" s="242" t="str">
        <f t="shared" si="2"/>
        <v/>
      </c>
      <c r="S110" s="243" t="str">
        <f t="shared" si="3"/>
        <v>-</v>
      </c>
      <c r="T110" s="61"/>
      <c r="U110" s="61"/>
      <c r="V110" s="61"/>
      <c r="W110" s="61"/>
    </row>
    <row r="111" spans="1:79" s="62" customFormat="1" ht="35.1" customHeight="1">
      <c r="A111" s="63"/>
      <c r="B111" s="163"/>
      <c r="C111" s="163"/>
      <c r="D111" s="163"/>
      <c r="E111" s="64"/>
      <c r="F111" s="65"/>
      <c r="G111" s="65"/>
      <c r="H111" s="65"/>
      <c r="I111" s="65"/>
      <c r="J111" s="65"/>
      <c r="K111" s="65"/>
      <c r="L111" s="44"/>
      <c r="M111" s="44"/>
      <c r="N111" s="44"/>
      <c r="O111" s="17"/>
      <c r="P111" s="60"/>
      <c r="Q111" s="242"/>
      <c r="R111" s="242" t="str">
        <f t="shared" si="2"/>
        <v/>
      </c>
      <c r="S111" s="243" t="str">
        <f t="shared" si="3"/>
        <v>-</v>
      </c>
      <c r="T111" s="61"/>
      <c r="U111" s="61"/>
      <c r="V111" s="61"/>
      <c r="W111" s="61"/>
    </row>
    <row r="112" spans="1:79" s="73" customFormat="1" ht="35.1" customHeight="1">
      <c r="A112" s="66" t="s">
        <v>41</v>
      </c>
      <c r="B112" s="67"/>
      <c r="C112" s="67"/>
      <c r="D112" s="67"/>
      <c r="E112" s="67"/>
      <c r="F112" s="68"/>
      <c r="G112" s="69"/>
      <c r="H112" s="69"/>
      <c r="I112" s="69">
        <f>SUM(I92:I111)</f>
        <v>0</v>
      </c>
      <c r="J112" s="70"/>
      <c r="K112" s="70"/>
      <c r="L112" s="70"/>
      <c r="M112" s="70"/>
      <c r="N112" s="70"/>
      <c r="O112" s="71"/>
      <c r="P112" s="60"/>
      <c r="Q112" s="242"/>
      <c r="R112" s="242" t="str">
        <f t="shared" si="2"/>
        <v/>
      </c>
      <c r="S112" s="243" t="str">
        <f t="shared" si="3"/>
        <v>-</v>
      </c>
      <c r="T112" s="61"/>
      <c r="U112" s="61"/>
      <c r="V112" s="61"/>
      <c r="W112" s="61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  <c r="BY112" s="72"/>
      <c r="BZ112" s="72"/>
      <c r="CA112" s="72"/>
    </row>
    <row r="113" spans="1:23" s="62" customFormat="1" ht="35.1" customHeight="1">
      <c r="A113" s="58"/>
      <c r="B113" s="161"/>
      <c r="C113" s="161"/>
      <c r="D113" s="161"/>
      <c r="E113" s="82"/>
      <c r="F113" s="59"/>
      <c r="G113" s="59"/>
      <c r="H113" s="59"/>
      <c r="I113" s="59"/>
      <c r="J113" s="59"/>
      <c r="K113" s="59"/>
      <c r="L113" s="43"/>
      <c r="M113" s="43"/>
      <c r="N113" s="43"/>
      <c r="O113" s="16"/>
      <c r="P113" s="60"/>
      <c r="Q113" s="242"/>
      <c r="R113" s="242" t="str">
        <f t="shared" si="2"/>
        <v/>
      </c>
      <c r="S113" s="243" t="str">
        <f t="shared" si="3"/>
        <v>-</v>
      </c>
      <c r="T113" s="61"/>
      <c r="U113" s="61"/>
      <c r="V113" s="61"/>
      <c r="W113" s="61"/>
    </row>
    <row r="114" spans="1:23" s="62" customFormat="1" ht="35.1" customHeight="1">
      <c r="A114" s="92"/>
      <c r="B114" s="162"/>
      <c r="C114" s="162"/>
      <c r="D114" s="162"/>
      <c r="E114" s="96"/>
      <c r="F114" s="93"/>
      <c r="G114" s="93"/>
      <c r="H114" s="93"/>
      <c r="I114" s="93"/>
      <c r="J114" s="93"/>
      <c r="K114" s="93"/>
      <c r="L114" s="94"/>
      <c r="M114" s="94"/>
      <c r="N114" s="94"/>
      <c r="O114" s="95"/>
      <c r="P114" s="60"/>
      <c r="Q114" s="242"/>
      <c r="R114" s="242" t="str">
        <f t="shared" si="2"/>
        <v/>
      </c>
      <c r="S114" s="243" t="str">
        <f t="shared" si="3"/>
        <v>-</v>
      </c>
      <c r="T114" s="61"/>
      <c r="U114" s="61"/>
      <c r="V114" s="61"/>
      <c r="W114" s="61"/>
    </row>
    <row r="115" spans="1:23" s="62" customFormat="1" ht="35.1" customHeight="1">
      <c r="A115" s="63"/>
      <c r="B115" s="163"/>
      <c r="C115" s="163"/>
      <c r="D115" s="163"/>
      <c r="E115" s="83"/>
      <c r="F115" s="65"/>
      <c r="G115" s="65"/>
      <c r="H115" s="65"/>
      <c r="I115" s="65"/>
      <c r="J115" s="65"/>
      <c r="K115" s="65"/>
      <c r="L115" s="44"/>
      <c r="M115" s="44">
        <v>0</v>
      </c>
      <c r="N115" s="44">
        <v>0</v>
      </c>
      <c r="O115" s="17"/>
      <c r="P115" s="60"/>
      <c r="Q115" s="242"/>
      <c r="R115" s="242" t="str">
        <f t="shared" si="2"/>
        <v/>
      </c>
      <c r="S115" s="243" t="str">
        <f t="shared" si="3"/>
        <v>-</v>
      </c>
      <c r="T115" s="61"/>
      <c r="U115" s="61"/>
      <c r="V115" s="61"/>
      <c r="W115" s="61"/>
    </row>
    <row r="116" spans="1:23" s="62" customFormat="1" ht="35.1" customHeight="1">
      <c r="A116" s="63"/>
      <c r="B116" s="163"/>
      <c r="C116" s="163"/>
      <c r="D116" s="163"/>
      <c r="E116" s="84"/>
      <c r="F116" s="65"/>
      <c r="G116" s="65"/>
      <c r="H116" s="65"/>
      <c r="I116" s="65"/>
      <c r="J116" s="65"/>
      <c r="K116" s="65"/>
      <c r="L116" s="44"/>
      <c r="M116" s="44">
        <v>0</v>
      </c>
      <c r="N116" s="44">
        <v>0</v>
      </c>
      <c r="O116" s="17"/>
      <c r="P116" s="60"/>
      <c r="Q116" s="242"/>
      <c r="R116" s="242" t="str">
        <f t="shared" si="2"/>
        <v/>
      </c>
      <c r="S116" s="243" t="str">
        <f t="shared" si="3"/>
        <v>-</v>
      </c>
      <c r="T116" s="61"/>
      <c r="U116" s="61"/>
      <c r="V116" s="61"/>
      <c r="W116" s="61"/>
    </row>
    <row r="117" spans="1:23" s="62" customFormat="1" ht="35.1" customHeight="1">
      <c r="A117" s="63"/>
      <c r="B117" s="163"/>
      <c r="C117" s="163"/>
      <c r="D117" s="163"/>
      <c r="E117" s="89"/>
      <c r="F117" s="65"/>
      <c r="G117" s="65"/>
      <c r="H117" s="65"/>
      <c r="I117" s="65"/>
      <c r="J117" s="65"/>
      <c r="K117" s="65"/>
      <c r="L117" s="44"/>
      <c r="M117" s="44">
        <v>0</v>
      </c>
      <c r="N117" s="44">
        <v>0</v>
      </c>
      <c r="O117" s="17"/>
      <c r="P117" s="60"/>
      <c r="Q117" s="242"/>
      <c r="R117" s="242" t="str">
        <f t="shared" si="2"/>
        <v/>
      </c>
      <c r="S117" s="243" t="str">
        <f t="shared" si="3"/>
        <v>-</v>
      </c>
      <c r="T117" s="61"/>
      <c r="U117" s="61"/>
      <c r="V117" s="61"/>
      <c r="W117" s="61"/>
    </row>
    <row r="118" spans="1:23" s="62" customFormat="1" ht="35.1" customHeight="1">
      <c r="A118" s="63"/>
      <c r="B118" s="163"/>
      <c r="C118" s="163"/>
      <c r="D118" s="163"/>
      <c r="E118" s="89"/>
      <c r="F118" s="65"/>
      <c r="G118" s="65"/>
      <c r="H118" s="65"/>
      <c r="I118" s="65"/>
      <c r="J118" s="65"/>
      <c r="K118" s="65"/>
      <c r="L118" s="44"/>
      <c r="M118" s="44">
        <v>0</v>
      </c>
      <c r="N118" s="44">
        <v>0</v>
      </c>
      <c r="O118" s="17"/>
      <c r="P118" s="60"/>
      <c r="Q118" s="242"/>
      <c r="R118" s="242" t="str">
        <f t="shared" si="2"/>
        <v/>
      </c>
      <c r="S118" s="243" t="str">
        <f t="shared" si="3"/>
        <v>-</v>
      </c>
      <c r="T118" s="61"/>
      <c r="U118" s="61"/>
      <c r="V118" s="61"/>
      <c r="W118" s="61"/>
    </row>
    <row r="119" spans="1:23" s="62" customFormat="1" ht="35.1" customHeight="1">
      <c r="A119" s="63"/>
      <c r="B119" s="163"/>
      <c r="C119" s="163"/>
      <c r="D119" s="163"/>
      <c r="E119" s="89"/>
      <c r="F119" s="65"/>
      <c r="G119" s="65"/>
      <c r="H119" s="65"/>
      <c r="I119" s="65"/>
      <c r="J119" s="65"/>
      <c r="K119" s="65"/>
      <c r="L119" s="44"/>
      <c r="M119" s="44">
        <v>0</v>
      </c>
      <c r="N119" s="44">
        <v>0</v>
      </c>
      <c r="O119" s="17"/>
      <c r="P119" s="60"/>
      <c r="Q119" s="242"/>
      <c r="R119" s="242" t="str">
        <f t="shared" si="2"/>
        <v/>
      </c>
      <c r="S119" s="243" t="str">
        <f t="shared" si="3"/>
        <v>-</v>
      </c>
      <c r="T119" s="61"/>
      <c r="U119" s="61"/>
      <c r="V119" s="61"/>
      <c r="W119" s="61"/>
    </row>
    <row r="120" spans="1:23" s="62" customFormat="1" ht="35.1" customHeight="1">
      <c r="A120" s="63"/>
      <c r="B120" s="163"/>
      <c r="C120" s="163"/>
      <c r="D120" s="163"/>
      <c r="E120" s="89"/>
      <c r="F120" s="65"/>
      <c r="G120" s="65"/>
      <c r="H120" s="65"/>
      <c r="I120" s="65"/>
      <c r="J120" s="65"/>
      <c r="K120" s="65"/>
      <c r="L120" s="44"/>
      <c r="M120" s="44"/>
      <c r="N120" s="44"/>
      <c r="O120" s="17"/>
      <c r="P120" s="60"/>
      <c r="Q120" s="242"/>
      <c r="R120" s="242" t="str">
        <f t="shared" si="2"/>
        <v/>
      </c>
      <c r="S120" s="243" t="str">
        <f t="shared" si="3"/>
        <v>-</v>
      </c>
      <c r="T120" s="61"/>
      <c r="U120" s="61"/>
      <c r="V120" s="61"/>
      <c r="W120" s="61"/>
    </row>
    <row r="121" spans="1:23" s="62" customFormat="1" ht="35.1" customHeight="1">
      <c r="A121" s="63"/>
      <c r="B121" s="163"/>
      <c r="C121" s="163"/>
      <c r="D121" s="163"/>
      <c r="E121" s="89"/>
      <c r="F121" s="65"/>
      <c r="G121" s="65"/>
      <c r="H121" s="65"/>
      <c r="I121" s="65"/>
      <c r="J121" s="65"/>
      <c r="K121" s="65"/>
      <c r="L121" s="44"/>
      <c r="M121" s="44">
        <v>0</v>
      </c>
      <c r="N121" s="44">
        <v>0</v>
      </c>
      <c r="O121" s="17"/>
      <c r="P121" s="60"/>
      <c r="Q121" s="242"/>
      <c r="R121" s="242" t="str">
        <f t="shared" si="2"/>
        <v/>
      </c>
      <c r="S121" s="243" t="str">
        <f t="shared" si="3"/>
        <v>-</v>
      </c>
      <c r="T121" s="61"/>
      <c r="U121" s="61"/>
      <c r="V121" s="61"/>
      <c r="W121" s="61"/>
    </row>
    <row r="122" spans="1:23" s="62" customFormat="1" ht="35.1" customHeight="1">
      <c r="A122" s="63"/>
      <c r="B122" s="163"/>
      <c r="C122" s="163"/>
      <c r="D122" s="163"/>
      <c r="E122" s="89"/>
      <c r="F122" s="65"/>
      <c r="G122" s="65"/>
      <c r="H122" s="65"/>
      <c r="I122" s="65"/>
      <c r="J122" s="65"/>
      <c r="K122" s="65"/>
      <c r="L122" s="44"/>
      <c r="M122" s="44">
        <v>0</v>
      </c>
      <c r="N122" s="44">
        <v>0</v>
      </c>
      <c r="O122" s="17"/>
      <c r="P122" s="60"/>
      <c r="Q122" s="242"/>
      <c r="R122" s="242" t="str">
        <f t="shared" si="2"/>
        <v/>
      </c>
      <c r="S122" s="243" t="str">
        <f t="shared" si="3"/>
        <v>-</v>
      </c>
      <c r="T122" s="61"/>
      <c r="U122" s="61"/>
      <c r="V122" s="61"/>
      <c r="W122" s="61"/>
    </row>
    <row r="123" spans="1:23" s="62" customFormat="1" ht="35.1" customHeight="1">
      <c r="A123" s="63"/>
      <c r="B123" s="163"/>
      <c r="C123" s="163"/>
      <c r="D123" s="163"/>
      <c r="E123" s="89"/>
      <c r="F123" s="65"/>
      <c r="G123" s="65"/>
      <c r="H123" s="65"/>
      <c r="I123" s="65"/>
      <c r="J123" s="65"/>
      <c r="K123" s="65"/>
      <c r="L123" s="44"/>
      <c r="M123" s="44">
        <v>0</v>
      </c>
      <c r="N123" s="44">
        <v>0</v>
      </c>
      <c r="O123" s="17"/>
      <c r="P123" s="60"/>
      <c r="Q123" s="242"/>
      <c r="R123" s="242" t="str">
        <f t="shared" si="2"/>
        <v/>
      </c>
      <c r="S123" s="243" t="str">
        <f t="shared" si="3"/>
        <v>-</v>
      </c>
      <c r="T123" s="61"/>
      <c r="U123" s="61"/>
      <c r="V123" s="61"/>
      <c r="W123" s="61"/>
    </row>
    <row r="124" spans="1:23" s="62" customFormat="1" ht="35.1" customHeight="1">
      <c r="A124" s="63"/>
      <c r="B124" s="163"/>
      <c r="C124" s="163"/>
      <c r="D124" s="163"/>
      <c r="E124" s="64"/>
      <c r="F124" s="65"/>
      <c r="G124" s="65"/>
      <c r="H124" s="65"/>
      <c r="I124" s="65"/>
      <c r="J124" s="65"/>
      <c r="K124" s="65"/>
      <c r="L124" s="44"/>
      <c r="M124" s="44"/>
      <c r="N124" s="44"/>
      <c r="O124" s="17"/>
      <c r="P124" s="60"/>
      <c r="Q124" s="242"/>
      <c r="R124" s="242" t="str">
        <f t="shared" si="2"/>
        <v/>
      </c>
      <c r="S124" s="243" t="str">
        <f t="shared" si="3"/>
        <v>-</v>
      </c>
      <c r="T124" s="61"/>
      <c r="U124" s="61"/>
      <c r="V124" s="61"/>
      <c r="W124" s="61"/>
    </row>
    <row r="125" spans="1:23" s="62" customFormat="1" ht="35.1" customHeight="1">
      <c r="A125" s="63"/>
      <c r="B125" s="163"/>
      <c r="C125" s="163"/>
      <c r="D125" s="163"/>
      <c r="E125" s="64"/>
      <c r="F125" s="65"/>
      <c r="G125" s="65"/>
      <c r="H125" s="65"/>
      <c r="I125" s="65"/>
      <c r="J125" s="65"/>
      <c r="K125" s="65"/>
      <c r="L125" s="44"/>
      <c r="M125" s="44"/>
      <c r="N125" s="44"/>
      <c r="O125" s="17"/>
      <c r="P125" s="60"/>
      <c r="Q125" s="242"/>
      <c r="R125" s="242" t="str">
        <f t="shared" si="2"/>
        <v/>
      </c>
      <c r="S125" s="243" t="str">
        <f t="shared" si="3"/>
        <v>-</v>
      </c>
      <c r="T125" s="61"/>
      <c r="U125" s="61"/>
      <c r="V125" s="61"/>
      <c r="W125" s="61"/>
    </row>
    <row r="126" spans="1:23" s="62" customFormat="1" ht="35.1" customHeight="1">
      <c r="A126" s="63"/>
      <c r="B126" s="163"/>
      <c r="C126" s="163"/>
      <c r="D126" s="163"/>
      <c r="E126" s="64"/>
      <c r="F126" s="65"/>
      <c r="G126" s="65"/>
      <c r="H126" s="65"/>
      <c r="I126" s="65"/>
      <c r="J126" s="65"/>
      <c r="K126" s="65"/>
      <c r="L126" s="44"/>
      <c r="M126" s="44"/>
      <c r="N126" s="44"/>
      <c r="O126" s="17"/>
      <c r="P126" s="60"/>
      <c r="Q126" s="242"/>
      <c r="R126" s="242" t="str">
        <f t="shared" si="2"/>
        <v/>
      </c>
      <c r="S126" s="243" t="str">
        <f t="shared" si="3"/>
        <v>-</v>
      </c>
      <c r="T126" s="61"/>
      <c r="U126" s="61"/>
      <c r="V126" s="61"/>
      <c r="W126" s="61"/>
    </row>
    <row r="127" spans="1:23" s="62" customFormat="1" ht="35.1" customHeight="1">
      <c r="A127" s="63"/>
      <c r="B127" s="163"/>
      <c r="C127" s="163"/>
      <c r="D127" s="163"/>
      <c r="E127" s="64"/>
      <c r="F127" s="65"/>
      <c r="G127" s="65"/>
      <c r="H127" s="65"/>
      <c r="I127" s="65"/>
      <c r="J127" s="65"/>
      <c r="K127" s="65"/>
      <c r="L127" s="44"/>
      <c r="M127" s="44"/>
      <c r="N127" s="44"/>
      <c r="O127" s="17"/>
      <c r="P127" s="60"/>
      <c r="Q127" s="242"/>
      <c r="R127" s="242" t="str">
        <f t="shared" si="2"/>
        <v/>
      </c>
      <c r="S127" s="243" t="str">
        <f t="shared" si="3"/>
        <v>-</v>
      </c>
      <c r="T127" s="61"/>
      <c r="U127" s="61"/>
      <c r="V127" s="61"/>
      <c r="W127" s="61"/>
    </row>
    <row r="128" spans="1:23" s="62" customFormat="1" ht="35.1" customHeight="1">
      <c r="A128" s="63"/>
      <c r="B128" s="163"/>
      <c r="C128" s="163"/>
      <c r="D128" s="163"/>
      <c r="E128" s="64"/>
      <c r="F128" s="65"/>
      <c r="G128" s="65"/>
      <c r="H128" s="65"/>
      <c r="I128" s="65"/>
      <c r="J128" s="65"/>
      <c r="K128" s="65"/>
      <c r="L128" s="44"/>
      <c r="M128" s="44"/>
      <c r="N128" s="44"/>
      <c r="O128" s="17"/>
      <c r="P128" s="60"/>
      <c r="Q128" s="242"/>
      <c r="R128" s="242" t="str">
        <f t="shared" si="2"/>
        <v/>
      </c>
      <c r="S128" s="243" t="str">
        <f t="shared" si="3"/>
        <v>-</v>
      </c>
      <c r="T128" s="61"/>
      <c r="U128" s="61"/>
      <c r="V128" s="61"/>
      <c r="W128" s="61"/>
    </row>
    <row r="129" spans="1:79" s="62" customFormat="1" ht="35.1" customHeight="1">
      <c r="A129" s="63"/>
      <c r="B129" s="163"/>
      <c r="C129" s="163"/>
      <c r="D129" s="163"/>
      <c r="E129" s="64"/>
      <c r="F129" s="65"/>
      <c r="G129" s="65"/>
      <c r="H129" s="65"/>
      <c r="I129" s="65"/>
      <c r="J129" s="65"/>
      <c r="K129" s="65"/>
      <c r="L129" s="44"/>
      <c r="M129" s="44"/>
      <c r="N129" s="44"/>
      <c r="O129" s="17"/>
      <c r="P129" s="60"/>
      <c r="Q129" s="242"/>
      <c r="R129" s="242" t="str">
        <f t="shared" si="2"/>
        <v/>
      </c>
      <c r="S129" s="243" t="str">
        <f t="shared" si="3"/>
        <v>-</v>
      </c>
      <c r="T129" s="61"/>
      <c r="U129" s="61"/>
      <c r="V129" s="61"/>
      <c r="W129" s="61"/>
    </row>
    <row r="130" spans="1:79" s="62" customFormat="1" ht="35.1" customHeight="1">
      <c r="A130" s="63"/>
      <c r="B130" s="163"/>
      <c r="C130" s="163"/>
      <c r="D130" s="163"/>
      <c r="E130" s="64"/>
      <c r="F130" s="65"/>
      <c r="G130" s="65"/>
      <c r="H130" s="65"/>
      <c r="I130" s="65"/>
      <c r="J130" s="65"/>
      <c r="K130" s="65"/>
      <c r="L130" s="44"/>
      <c r="M130" s="44"/>
      <c r="N130" s="44"/>
      <c r="O130" s="17"/>
      <c r="P130" s="60"/>
      <c r="Q130" s="242"/>
      <c r="R130" s="242" t="str">
        <f t="shared" si="2"/>
        <v/>
      </c>
      <c r="S130" s="243" t="str">
        <f t="shared" si="3"/>
        <v>-</v>
      </c>
      <c r="T130" s="61"/>
      <c r="U130" s="61"/>
      <c r="V130" s="61"/>
      <c r="W130" s="61"/>
    </row>
    <row r="131" spans="1:79" s="62" customFormat="1" ht="35.1" customHeight="1">
      <c r="A131" s="63"/>
      <c r="B131" s="163"/>
      <c r="C131" s="163"/>
      <c r="D131" s="163"/>
      <c r="E131" s="64"/>
      <c r="F131" s="65"/>
      <c r="G131" s="65"/>
      <c r="H131" s="65"/>
      <c r="I131" s="65"/>
      <c r="J131" s="65"/>
      <c r="K131" s="65"/>
      <c r="L131" s="44"/>
      <c r="M131" s="44"/>
      <c r="N131" s="44"/>
      <c r="O131" s="17"/>
      <c r="P131" s="60"/>
      <c r="Q131" s="242"/>
      <c r="R131" s="242" t="str">
        <f t="shared" si="2"/>
        <v/>
      </c>
      <c r="S131" s="243" t="str">
        <f t="shared" si="3"/>
        <v>-</v>
      </c>
      <c r="T131" s="61"/>
      <c r="U131" s="61"/>
      <c r="V131" s="61"/>
      <c r="W131" s="61"/>
    </row>
    <row r="132" spans="1:79" s="62" customFormat="1" ht="35.1" customHeight="1">
      <c r="A132" s="63"/>
      <c r="B132" s="163"/>
      <c r="C132" s="163"/>
      <c r="D132" s="163"/>
      <c r="E132" s="64"/>
      <c r="F132" s="65"/>
      <c r="G132" s="65"/>
      <c r="H132" s="65"/>
      <c r="I132" s="65"/>
      <c r="J132" s="65"/>
      <c r="K132" s="65"/>
      <c r="L132" s="44"/>
      <c r="M132" s="44"/>
      <c r="N132" s="44"/>
      <c r="O132" s="17"/>
      <c r="P132" s="60"/>
      <c r="Q132" s="242"/>
      <c r="R132" s="242" t="str">
        <f t="shared" si="2"/>
        <v/>
      </c>
      <c r="S132" s="243" t="str">
        <f t="shared" si="3"/>
        <v>-</v>
      </c>
      <c r="T132" s="61"/>
      <c r="U132" s="61"/>
      <c r="V132" s="61"/>
      <c r="W132" s="61"/>
    </row>
    <row r="133" spans="1:79" s="73" customFormat="1" ht="35.1" customHeight="1">
      <c r="A133" s="66" t="s">
        <v>41</v>
      </c>
      <c r="B133" s="67"/>
      <c r="C133" s="67"/>
      <c r="D133" s="67"/>
      <c r="E133" s="67"/>
      <c r="F133" s="68"/>
      <c r="G133" s="69"/>
      <c r="H133" s="69"/>
      <c r="I133" s="69">
        <f>SUM(I113:I132)</f>
        <v>0</v>
      </c>
      <c r="J133" s="70"/>
      <c r="K133" s="70"/>
      <c r="L133" s="70"/>
      <c r="M133" s="70"/>
      <c r="N133" s="70"/>
      <c r="O133" s="71"/>
      <c r="P133" s="60"/>
      <c r="Q133" s="242"/>
      <c r="R133" s="242" t="str">
        <f t="shared" si="2"/>
        <v/>
      </c>
      <c r="S133" s="243" t="str">
        <f t="shared" si="3"/>
        <v>-</v>
      </c>
      <c r="T133" s="61"/>
      <c r="U133" s="61"/>
      <c r="V133" s="61"/>
      <c r="W133" s="61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  <c r="BY133" s="72"/>
      <c r="BZ133" s="72"/>
      <c r="CA133" s="72"/>
    </row>
    <row r="134" spans="1:79" s="62" customFormat="1" ht="35.1" customHeight="1">
      <c r="A134" s="58"/>
      <c r="B134" s="161"/>
      <c r="C134" s="161"/>
      <c r="D134" s="161"/>
      <c r="E134" s="82"/>
      <c r="F134" s="59"/>
      <c r="G134" s="59"/>
      <c r="H134" s="59"/>
      <c r="I134" s="59"/>
      <c r="J134" s="59"/>
      <c r="K134" s="59"/>
      <c r="L134" s="43"/>
      <c r="M134" s="43"/>
      <c r="N134" s="43"/>
      <c r="O134" s="16"/>
      <c r="P134" s="60"/>
      <c r="Q134" s="242"/>
      <c r="R134" s="242" t="str">
        <f t="shared" si="2"/>
        <v/>
      </c>
      <c r="S134" s="243" t="str">
        <f t="shared" si="3"/>
        <v>-</v>
      </c>
      <c r="T134" s="61"/>
      <c r="U134" s="61"/>
      <c r="V134" s="61"/>
      <c r="W134" s="61"/>
    </row>
    <row r="135" spans="1:79" s="62" customFormat="1" ht="35.1" customHeight="1">
      <c r="A135" s="92"/>
      <c r="B135" s="162"/>
      <c r="C135" s="162"/>
      <c r="D135" s="162"/>
      <c r="E135" s="96"/>
      <c r="F135" s="93"/>
      <c r="G135" s="93"/>
      <c r="H135" s="93"/>
      <c r="I135" s="93"/>
      <c r="J135" s="93"/>
      <c r="K135" s="93"/>
      <c r="L135" s="94"/>
      <c r="M135" s="94"/>
      <c r="N135" s="94"/>
      <c r="O135" s="95"/>
      <c r="P135" s="60"/>
      <c r="Q135" s="242"/>
      <c r="R135" s="242" t="str">
        <f t="shared" ref="R135:R198" si="4">CONCATENATE(F135,J135)</f>
        <v/>
      </c>
      <c r="S135" s="243" t="str">
        <f t="shared" ref="S135:S198" si="5">IF(G135&gt;=I135,"-","err")</f>
        <v>-</v>
      </c>
      <c r="T135" s="61"/>
      <c r="U135" s="61"/>
      <c r="V135" s="61"/>
      <c r="W135" s="61"/>
    </row>
    <row r="136" spans="1:79" s="62" customFormat="1" ht="35.1" customHeight="1">
      <c r="A136" s="63"/>
      <c r="B136" s="163"/>
      <c r="C136" s="163"/>
      <c r="D136" s="163"/>
      <c r="E136" s="83"/>
      <c r="F136" s="65"/>
      <c r="G136" s="65"/>
      <c r="H136" s="65"/>
      <c r="I136" s="65"/>
      <c r="J136" s="65"/>
      <c r="K136" s="65"/>
      <c r="L136" s="44">
        <v>0</v>
      </c>
      <c r="M136" s="44">
        <v>0</v>
      </c>
      <c r="N136" s="44">
        <v>0</v>
      </c>
      <c r="O136" s="17"/>
      <c r="P136" s="60"/>
      <c r="Q136" s="242"/>
      <c r="R136" s="242" t="str">
        <f t="shared" si="4"/>
        <v/>
      </c>
      <c r="S136" s="243" t="str">
        <f t="shared" si="5"/>
        <v>-</v>
      </c>
      <c r="T136" s="61"/>
      <c r="U136" s="61"/>
      <c r="V136" s="61"/>
      <c r="W136" s="61"/>
    </row>
    <row r="137" spans="1:79" s="62" customFormat="1" ht="35.1" customHeight="1">
      <c r="A137" s="63"/>
      <c r="B137" s="163"/>
      <c r="C137" s="163"/>
      <c r="D137" s="163"/>
      <c r="E137" s="84"/>
      <c r="F137" s="65"/>
      <c r="G137" s="65"/>
      <c r="H137" s="65"/>
      <c r="I137" s="65"/>
      <c r="J137" s="65"/>
      <c r="K137" s="65"/>
      <c r="L137" s="44">
        <v>0</v>
      </c>
      <c r="M137" s="44">
        <v>0</v>
      </c>
      <c r="N137" s="44">
        <v>0</v>
      </c>
      <c r="O137" s="17"/>
      <c r="P137" s="60"/>
      <c r="Q137" s="242"/>
      <c r="R137" s="242" t="str">
        <f t="shared" si="4"/>
        <v/>
      </c>
      <c r="S137" s="243" t="str">
        <f t="shared" si="5"/>
        <v>-</v>
      </c>
      <c r="T137" s="61"/>
      <c r="U137" s="61"/>
      <c r="V137" s="61"/>
      <c r="W137" s="61"/>
    </row>
    <row r="138" spans="1:79" s="62" customFormat="1" ht="35.1" customHeight="1">
      <c r="A138" s="63"/>
      <c r="B138" s="163"/>
      <c r="C138" s="163"/>
      <c r="D138" s="163"/>
      <c r="E138" s="89"/>
      <c r="F138" s="65"/>
      <c r="G138" s="65"/>
      <c r="H138" s="65"/>
      <c r="I138" s="65"/>
      <c r="J138" s="65"/>
      <c r="K138" s="65"/>
      <c r="L138" s="44">
        <v>0</v>
      </c>
      <c r="M138" s="44">
        <v>0</v>
      </c>
      <c r="N138" s="44">
        <v>0</v>
      </c>
      <c r="O138" s="17"/>
      <c r="P138" s="60"/>
      <c r="Q138" s="242"/>
      <c r="R138" s="242" t="str">
        <f t="shared" si="4"/>
        <v/>
      </c>
      <c r="S138" s="243" t="str">
        <f t="shared" si="5"/>
        <v>-</v>
      </c>
      <c r="T138" s="61"/>
      <c r="U138" s="61"/>
      <c r="V138" s="61"/>
      <c r="W138" s="61"/>
    </row>
    <row r="139" spans="1:79" s="62" customFormat="1" ht="35.1" customHeight="1">
      <c r="A139" s="63"/>
      <c r="B139" s="163"/>
      <c r="C139" s="163"/>
      <c r="D139" s="163"/>
      <c r="E139" s="89"/>
      <c r="F139" s="65"/>
      <c r="G139" s="65"/>
      <c r="H139" s="65"/>
      <c r="I139" s="65"/>
      <c r="J139" s="65"/>
      <c r="K139" s="65"/>
      <c r="L139" s="44">
        <v>0</v>
      </c>
      <c r="M139" s="44">
        <v>0</v>
      </c>
      <c r="N139" s="44">
        <v>0</v>
      </c>
      <c r="O139" s="17"/>
      <c r="P139" s="60"/>
      <c r="Q139" s="242"/>
      <c r="R139" s="242" t="str">
        <f t="shared" si="4"/>
        <v/>
      </c>
      <c r="S139" s="243" t="str">
        <f t="shared" si="5"/>
        <v>-</v>
      </c>
      <c r="T139" s="61"/>
      <c r="U139" s="61"/>
      <c r="V139" s="61"/>
      <c r="W139" s="61"/>
    </row>
    <row r="140" spans="1:79" s="62" customFormat="1" ht="35.1" customHeight="1">
      <c r="A140" s="63"/>
      <c r="B140" s="163"/>
      <c r="C140" s="163"/>
      <c r="D140" s="163"/>
      <c r="E140" s="89"/>
      <c r="F140" s="65"/>
      <c r="G140" s="65"/>
      <c r="H140" s="65"/>
      <c r="I140" s="65"/>
      <c r="J140" s="65"/>
      <c r="K140" s="65"/>
      <c r="L140" s="44"/>
      <c r="M140" s="44"/>
      <c r="N140" s="44"/>
      <c r="O140" s="17"/>
      <c r="P140" s="60"/>
      <c r="Q140" s="242"/>
      <c r="R140" s="242" t="str">
        <f t="shared" si="4"/>
        <v/>
      </c>
      <c r="S140" s="243" t="str">
        <f t="shared" si="5"/>
        <v>-</v>
      </c>
      <c r="T140" s="61"/>
      <c r="U140" s="61"/>
      <c r="V140" s="61"/>
      <c r="W140" s="61"/>
    </row>
    <row r="141" spans="1:79" s="62" customFormat="1" ht="35.1" customHeight="1">
      <c r="A141" s="63"/>
      <c r="B141" s="163"/>
      <c r="C141" s="163"/>
      <c r="D141" s="163"/>
      <c r="E141" s="89"/>
      <c r="F141" s="65"/>
      <c r="G141" s="65"/>
      <c r="H141" s="65"/>
      <c r="I141" s="65"/>
      <c r="J141" s="65"/>
      <c r="K141" s="65"/>
      <c r="L141" s="44"/>
      <c r="M141" s="44"/>
      <c r="N141" s="44"/>
      <c r="O141" s="17"/>
      <c r="P141" s="60"/>
      <c r="Q141" s="242"/>
      <c r="R141" s="242" t="str">
        <f t="shared" si="4"/>
        <v/>
      </c>
      <c r="S141" s="243" t="str">
        <f t="shared" si="5"/>
        <v>-</v>
      </c>
      <c r="T141" s="61"/>
      <c r="U141" s="61"/>
      <c r="V141" s="61"/>
      <c r="W141" s="61"/>
    </row>
    <row r="142" spans="1:79" s="62" customFormat="1" ht="35.1" customHeight="1">
      <c r="A142" s="63"/>
      <c r="B142" s="163"/>
      <c r="C142" s="163"/>
      <c r="D142" s="163"/>
      <c r="E142" s="89"/>
      <c r="F142" s="65"/>
      <c r="G142" s="65"/>
      <c r="H142" s="65"/>
      <c r="I142" s="65"/>
      <c r="J142" s="65"/>
      <c r="K142" s="65"/>
      <c r="L142" s="44"/>
      <c r="M142" s="44"/>
      <c r="N142" s="44"/>
      <c r="O142" s="17"/>
      <c r="P142" s="60"/>
      <c r="Q142" s="242"/>
      <c r="R142" s="242" t="str">
        <f t="shared" si="4"/>
        <v/>
      </c>
      <c r="S142" s="243" t="str">
        <f t="shared" si="5"/>
        <v>-</v>
      </c>
      <c r="T142" s="61"/>
      <c r="U142" s="61"/>
      <c r="V142" s="61"/>
      <c r="W142" s="61"/>
    </row>
    <row r="143" spans="1:79" s="62" customFormat="1" ht="35.1" customHeight="1">
      <c r="A143" s="63"/>
      <c r="B143" s="163"/>
      <c r="C143" s="163"/>
      <c r="D143" s="163"/>
      <c r="E143" s="89"/>
      <c r="F143" s="65"/>
      <c r="G143" s="65"/>
      <c r="H143" s="65"/>
      <c r="I143" s="65"/>
      <c r="J143" s="65"/>
      <c r="K143" s="65"/>
      <c r="L143" s="44">
        <v>0</v>
      </c>
      <c r="M143" s="44">
        <v>0</v>
      </c>
      <c r="N143" s="44">
        <v>0</v>
      </c>
      <c r="O143" s="17"/>
      <c r="P143" s="60"/>
      <c r="Q143" s="242"/>
      <c r="R143" s="242" t="str">
        <f t="shared" si="4"/>
        <v/>
      </c>
      <c r="S143" s="243" t="str">
        <f t="shared" si="5"/>
        <v>-</v>
      </c>
      <c r="T143" s="61"/>
      <c r="U143" s="61"/>
      <c r="V143" s="61"/>
      <c r="W143" s="61"/>
    </row>
    <row r="144" spans="1:79" s="62" customFormat="1" ht="35.1" customHeight="1">
      <c r="A144" s="63"/>
      <c r="B144" s="163"/>
      <c r="C144" s="163"/>
      <c r="D144" s="163"/>
      <c r="E144" s="89"/>
      <c r="F144" s="65"/>
      <c r="G144" s="65"/>
      <c r="H144" s="65"/>
      <c r="I144" s="65"/>
      <c r="J144" s="65"/>
      <c r="K144" s="65"/>
      <c r="L144" s="44">
        <v>0</v>
      </c>
      <c r="M144" s="44">
        <v>0</v>
      </c>
      <c r="N144" s="44">
        <v>0</v>
      </c>
      <c r="O144" s="17"/>
      <c r="P144" s="60"/>
      <c r="Q144" s="242"/>
      <c r="R144" s="242" t="str">
        <f t="shared" si="4"/>
        <v/>
      </c>
      <c r="S144" s="243" t="str">
        <f t="shared" si="5"/>
        <v>-</v>
      </c>
      <c r="T144" s="61"/>
      <c r="U144" s="61"/>
      <c r="V144" s="61"/>
      <c r="W144" s="61"/>
    </row>
    <row r="145" spans="1:79" s="62" customFormat="1" ht="35.1" customHeight="1">
      <c r="A145" s="63"/>
      <c r="B145" s="163"/>
      <c r="C145" s="163"/>
      <c r="D145" s="163"/>
      <c r="E145" s="64"/>
      <c r="F145" s="65"/>
      <c r="G145" s="65"/>
      <c r="H145" s="65"/>
      <c r="I145" s="65"/>
      <c r="J145" s="65"/>
      <c r="K145" s="65"/>
      <c r="L145" s="44"/>
      <c r="M145" s="44"/>
      <c r="N145" s="44"/>
      <c r="O145" s="17"/>
      <c r="P145" s="60"/>
      <c r="Q145" s="242"/>
      <c r="R145" s="242" t="str">
        <f t="shared" si="4"/>
        <v/>
      </c>
      <c r="S145" s="243" t="str">
        <f t="shared" si="5"/>
        <v>-</v>
      </c>
      <c r="T145" s="61"/>
      <c r="U145" s="61"/>
      <c r="V145" s="61"/>
      <c r="W145" s="61"/>
    </row>
    <row r="146" spans="1:79" s="62" customFormat="1" ht="35.1" customHeight="1">
      <c r="A146" s="63"/>
      <c r="B146" s="163"/>
      <c r="C146" s="163"/>
      <c r="D146" s="163"/>
      <c r="E146" s="64"/>
      <c r="F146" s="65"/>
      <c r="G146" s="65"/>
      <c r="H146" s="65"/>
      <c r="I146" s="65"/>
      <c r="J146" s="65"/>
      <c r="K146" s="65"/>
      <c r="L146" s="44"/>
      <c r="M146" s="44"/>
      <c r="N146" s="44"/>
      <c r="O146" s="17"/>
      <c r="P146" s="60"/>
      <c r="Q146" s="242"/>
      <c r="R146" s="242" t="str">
        <f t="shared" si="4"/>
        <v/>
      </c>
      <c r="S146" s="243" t="str">
        <f t="shared" si="5"/>
        <v>-</v>
      </c>
      <c r="T146" s="61"/>
      <c r="U146" s="61"/>
      <c r="V146" s="61"/>
      <c r="W146" s="61"/>
    </row>
    <row r="147" spans="1:79" s="62" customFormat="1" ht="35.1" customHeight="1">
      <c r="A147" s="63"/>
      <c r="B147" s="163"/>
      <c r="C147" s="163"/>
      <c r="D147" s="163"/>
      <c r="E147" s="64"/>
      <c r="F147" s="65"/>
      <c r="G147" s="65"/>
      <c r="H147" s="65"/>
      <c r="I147" s="65"/>
      <c r="J147" s="65"/>
      <c r="K147" s="65"/>
      <c r="L147" s="44"/>
      <c r="M147" s="44"/>
      <c r="N147" s="44"/>
      <c r="O147" s="17"/>
      <c r="P147" s="60"/>
      <c r="Q147" s="242"/>
      <c r="R147" s="242" t="str">
        <f t="shared" si="4"/>
        <v/>
      </c>
      <c r="S147" s="243" t="str">
        <f t="shared" si="5"/>
        <v>-</v>
      </c>
      <c r="T147" s="61"/>
      <c r="U147" s="61"/>
      <c r="V147" s="61"/>
      <c r="W147" s="61"/>
    </row>
    <row r="148" spans="1:79" s="62" customFormat="1" ht="35.1" customHeight="1">
      <c r="A148" s="63"/>
      <c r="B148" s="163"/>
      <c r="C148" s="163"/>
      <c r="D148" s="163"/>
      <c r="E148" s="64"/>
      <c r="F148" s="65"/>
      <c r="G148" s="65"/>
      <c r="H148" s="65"/>
      <c r="I148" s="65"/>
      <c r="J148" s="65"/>
      <c r="K148" s="65"/>
      <c r="L148" s="44"/>
      <c r="M148" s="44"/>
      <c r="N148" s="44"/>
      <c r="O148" s="17"/>
      <c r="P148" s="60"/>
      <c r="Q148" s="242"/>
      <c r="R148" s="242" t="str">
        <f t="shared" si="4"/>
        <v/>
      </c>
      <c r="S148" s="243" t="str">
        <f t="shared" si="5"/>
        <v>-</v>
      </c>
      <c r="T148" s="61"/>
      <c r="U148" s="61"/>
      <c r="V148" s="61"/>
      <c r="W148" s="61"/>
    </row>
    <row r="149" spans="1:79" s="62" customFormat="1" ht="35.1" customHeight="1">
      <c r="A149" s="63"/>
      <c r="B149" s="163"/>
      <c r="C149" s="163"/>
      <c r="D149" s="163"/>
      <c r="E149" s="64"/>
      <c r="F149" s="65"/>
      <c r="G149" s="65"/>
      <c r="H149" s="65"/>
      <c r="I149" s="65"/>
      <c r="J149" s="65"/>
      <c r="K149" s="65"/>
      <c r="L149" s="44"/>
      <c r="M149" s="44"/>
      <c r="N149" s="44"/>
      <c r="O149" s="17"/>
      <c r="P149" s="60"/>
      <c r="Q149" s="242"/>
      <c r="R149" s="242" t="str">
        <f t="shared" si="4"/>
        <v/>
      </c>
      <c r="S149" s="243" t="str">
        <f t="shared" si="5"/>
        <v>-</v>
      </c>
      <c r="T149" s="61"/>
      <c r="U149" s="61"/>
      <c r="V149" s="61"/>
      <c r="W149" s="61"/>
    </row>
    <row r="150" spans="1:79" s="62" customFormat="1" ht="35.1" customHeight="1">
      <c r="A150" s="63"/>
      <c r="B150" s="163"/>
      <c r="C150" s="163"/>
      <c r="D150" s="163"/>
      <c r="E150" s="64"/>
      <c r="F150" s="65"/>
      <c r="G150" s="65"/>
      <c r="H150" s="65"/>
      <c r="I150" s="65"/>
      <c r="J150" s="65"/>
      <c r="K150" s="65"/>
      <c r="L150" s="44"/>
      <c r="M150" s="44"/>
      <c r="N150" s="44"/>
      <c r="O150" s="17"/>
      <c r="P150" s="60"/>
      <c r="Q150" s="242"/>
      <c r="R150" s="242" t="str">
        <f t="shared" si="4"/>
        <v/>
      </c>
      <c r="S150" s="243" t="str">
        <f t="shared" si="5"/>
        <v>-</v>
      </c>
      <c r="T150" s="61"/>
      <c r="U150" s="61"/>
      <c r="V150" s="61"/>
      <c r="W150" s="61"/>
    </row>
    <row r="151" spans="1:79" s="62" customFormat="1" ht="35.1" customHeight="1">
      <c r="A151" s="63"/>
      <c r="B151" s="163"/>
      <c r="C151" s="163"/>
      <c r="D151" s="163"/>
      <c r="E151" s="64"/>
      <c r="F151" s="65"/>
      <c r="G151" s="65"/>
      <c r="H151" s="65"/>
      <c r="I151" s="65"/>
      <c r="J151" s="65"/>
      <c r="K151" s="65"/>
      <c r="L151" s="44"/>
      <c r="M151" s="44"/>
      <c r="N151" s="44"/>
      <c r="O151" s="17"/>
      <c r="P151" s="60"/>
      <c r="Q151" s="242"/>
      <c r="R151" s="242" t="str">
        <f t="shared" si="4"/>
        <v/>
      </c>
      <c r="S151" s="243" t="str">
        <f t="shared" si="5"/>
        <v>-</v>
      </c>
      <c r="T151" s="61"/>
      <c r="U151" s="61"/>
      <c r="V151" s="61"/>
      <c r="W151" s="61"/>
    </row>
    <row r="152" spans="1:79" s="62" customFormat="1" ht="35.1" customHeight="1">
      <c r="A152" s="63"/>
      <c r="B152" s="163"/>
      <c r="C152" s="163"/>
      <c r="D152" s="163"/>
      <c r="E152" s="64"/>
      <c r="F152" s="65"/>
      <c r="G152" s="65"/>
      <c r="H152" s="65"/>
      <c r="I152" s="65"/>
      <c r="J152" s="65"/>
      <c r="K152" s="65"/>
      <c r="L152" s="44"/>
      <c r="M152" s="44"/>
      <c r="N152" s="44"/>
      <c r="O152" s="17"/>
      <c r="P152" s="60"/>
      <c r="Q152" s="242"/>
      <c r="R152" s="242" t="str">
        <f t="shared" si="4"/>
        <v/>
      </c>
      <c r="S152" s="243" t="str">
        <f t="shared" si="5"/>
        <v>-</v>
      </c>
      <c r="T152" s="61"/>
      <c r="U152" s="61"/>
      <c r="V152" s="61"/>
      <c r="W152" s="61"/>
    </row>
    <row r="153" spans="1:79" s="62" customFormat="1" ht="35.1" customHeight="1">
      <c r="A153" s="63"/>
      <c r="B153" s="163"/>
      <c r="C153" s="163"/>
      <c r="D153" s="163"/>
      <c r="E153" s="64"/>
      <c r="F153" s="65"/>
      <c r="G153" s="65"/>
      <c r="H153" s="65"/>
      <c r="I153" s="65"/>
      <c r="J153" s="65"/>
      <c r="K153" s="65"/>
      <c r="L153" s="44"/>
      <c r="M153" s="44"/>
      <c r="N153" s="44"/>
      <c r="O153" s="17"/>
      <c r="P153" s="60"/>
      <c r="Q153" s="242"/>
      <c r="R153" s="242" t="str">
        <f t="shared" si="4"/>
        <v/>
      </c>
      <c r="S153" s="243" t="str">
        <f t="shared" si="5"/>
        <v>-</v>
      </c>
      <c r="T153" s="61"/>
      <c r="U153" s="61"/>
      <c r="V153" s="61"/>
      <c r="W153" s="61"/>
    </row>
    <row r="154" spans="1:79" s="73" customFormat="1" ht="35.1" customHeight="1">
      <c r="A154" s="66" t="s">
        <v>41</v>
      </c>
      <c r="B154" s="67"/>
      <c r="C154" s="67"/>
      <c r="D154" s="67"/>
      <c r="E154" s="67"/>
      <c r="F154" s="68"/>
      <c r="G154" s="69"/>
      <c r="H154" s="69"/>
      <c r="I154" s="69">
        <f>SUM(I134:I153)</f>
        <v>0</v>
      </c>
      <c r="J154" s="70"/>
      <c r="K154" s="70"/>
      <c r="L154" s="70"/>
      <c r="M154" s="70"/>
      <c r="N154" s="70"/>
      <c r="O154" s="71"/>
      <c r="P154" s="60"/>
      <c r="Q154" s="242"/>
      <c r="R154" s="242" t="str">
        <f t="shared" si="4"/>
        <v/>
      </c>
      <c r="S154" s="243" t="str">
        <f t="shared" si="5"/>
        <v>-</v>
      </c>
      <c r="T154" s="61"/>
      <c r="U154" s="61"/>
      <c r="V154" s="61"/>
      <c r="W154" s="61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  <c r="BY154" s="72"/>
      <c r="BZ154" s="72"/>
      <c r="CA154" s="72"/>
    </row>
    <row r="155" spans="1:79" s="62" customFormat="1" ht="35.1" customHeight="1">
      <c r="A155" s="58"/>
      <c r="B155" s="161"/>
      <c r="C155" s="161"/>
      <c r="D155" s="161"/>
      <c r="E155" s="82"/>
      <c r="F155" s="59"/>
      <c r="G155" s="59"/>
      <c r="H155" s="59"/>
      <c r="I155" s="59"/>
      <c r="J155" s="59"/>
      <c r="K155" s="59"/>
      <c r="L155" s="43"/>
      <c r="M155" s="43"/>
      <c r="N155" s="43"/>
      <c r="O155" s="16"/>
      <c r="P155" s="60"/>
      <c r="Q155" s="242"/>
      <c r="R155" s="242" t="str">
        <f t="shared" si="4"/>
        <v/>
      </c>
      <c r="S155" s="243" t="str">
        <f t="shared" si="5"/>
        <v>-</v>
      </c>
      <c r="T155" s="61"/>
      <c r="U155" s="61"/>
      <c r="V155" s="61"/>
      <c r="W155" s="61"/>
    </row>
    <row r="156" spans="1:79" s="62" customFormat="1" ht="35.1" customHeight="1">
      <c r="A156" s="92"/>
      <c r="B156" s="162"/>
      <c r="C156" s="162"/>
      <c r="D156" s="162"/>
      <c r="E156" s="96"/>
      <c r="F156" s="93"/>
      <c r="G156" s="93"/>
      <c r="H156" s="93"/>
      <c r="I156" s="93"/>
      <c r="J156" s="93"/>
      <c r="K156" s="93"/>
      <c r="L156" s="94"/>
      <c r="M156" s="94"/>
      <c r="N156" s="94"/>
      <c r="O156" s="95"/>
      <c r="P156" s="60"/>
      <c r="Q156" s="242"/>
      <c r="R156" s="242" t="str">
        <f t="shared" si="4"/>
        <v/>
      </c>
      <c r="S156" s="243" t="str">
        <f t="shared" si="5"/>
        <v>-</v>
      </c>
      <c r="T156" s="61"/>
      <c r="U156" s="61"/>
      <c r="V156" s="61"/>
      <c r="W156" s="61"/>
    </row>
    <row r="157" spans="1:79" s="62" customFormat="1" ht="35.1" customHeight="1">
      <c r="A157" s="63"/>
      <c r="B157" s="163"/>
      <c r="C157" s="163"/>
      <c r="D157" s="163"/>
      <c r="E157" s="83"/>
      <c r="F157" s="65"/>
      <c r="G157" s="65"/>
      <c r="H157" s="65"/>
      <c r="I157" s="65"/>
      <c r="J157" s="65"/>
      <c r="K157" s="65"/>
      <c r="L157" s="44"/>
      <c r="M157" s="44">
        <v>0</v>
      </c>
      <c r="N157" s="44">
        <v>0</v>
      </c>
      <c r="O157" s="17"/>
      <c r="P157" s="60"/>
      <c r="Q157" s="242"/>
      <c r="R157" s="242" t="str">
        <f t="shared" si="4"/>
        <v/>
      </c>
      <c r="S157" s="243" t="str">
        <f t="shared" si="5"/>
        <v>-</v>
      </c>
      <c r="T157" s="61"/>
      <c r="U157" s="61"/>
      <c r="V157" s="61"/>
      <c r="W157" s="61"/>
    </row>
    <row r="158" spans="1:79" s="62" customFormat="1" ht="35.1" customHeight="1">
      <c r="A158" s="63"/>
      <c r="B158" s="163"/>
      <c r="C158" s="163"/>
      <c r="D158" s="163"/>
      <c r="E158" s="84"/>
      <c r="F158" s="65"/>
      <c r="G158" s="65"/>
      <c r="H158" s="65"/>
      <c r="I158" s="65"/>
      <c r="J158" s="65"/>
      <c r="K158" s="65"/>
      <c r="L158" s="44"/>
      <c r="M158" s="44">
        <v>0</v>
      </c>
      <c r="N158" s="44">
        <v>0</v>
      </c>
      <c r="O158" s="17"/>
      <c r="P158" s="60"/>
      <c r="Q158" s="242"/>
      <c r="R158" s="242" t="str">
        <f t="shared" si="4"/>
        <v/>
      </c>
      <c r="S158" s="243" t="str">
        <f t="shared" si="5"/>
        <v>-</v>
      </c>
      <c r="T158" s="61"/>
      <c r="U158" s="61"/>
      <c r="V158" s="61"/>
      <c r="W158" s="61"/>
    </row>
    <row r="159" spans="1:79" s="62" customFormat="1" ht="35.1" customHeight="1">
      <c r="A159" s="63"/>
      <c r="B159" s="163"/>
      <c r="C159" s="163"/>
      <c r="D159" s="163"/>
      <c r="E159" s="89"/>
      <c r="F159" s="65"/>
      <c r="G159" s="65"/>
      <c r="H159" s="65"/>
      <c r="I159" s="65"/>
      <c r="J159" s="65"/>
      <c r="K159" s="65"/>
      <c r="L159" s="44"/>
      <c r="M159" s="44">
        <v>0</v>
      </c>
      <c r="N159" s="44">
        <v>0</v>
      </c>
      <c r="O159" s="17"/>
      <c r="P159" s="60"/>
      <c r="Q159" s="242"/>
      <c r="R159" s="242" t="str">
        <f t="shared" si="4"/>
        <v/>
      </c>
      <c r="S159" s="243" t="str">
        <f t="shared" si="5"/>
        <v>-</v>
      </c>
      <c r="T159" s="61"/>
      <c r="U159" s="61"/>
      <c r="V159" s="61"/>
      <c r="W159" s="61"/>
    </row>
    <row r="160" spans="1:79" s="62" customFormat="1" ht="35.1" customHeight="1">
      <c r="A160" s="63"/>
      <c r="B160" s="163"/>
      <c r="C160" s="163"/>
      <c r="D160" s="163"/>
      <c r="E160" s="89"/>
      <c r="F160" s="65"/>
      <c r="G160" s="65"/>
      <c r="H160" s="65"/>
      <c r="I160" s="65"/>
      <c r="J160" s="65"/>
      <c r="K160" s="65"/>
      <c r="L160" s="44"/>
      <c r="M160" s="44">
        <v>0</v>
      </c>
      <c r="N160" s="44">
        <v>0</v>
      </c>
      <c r="O160" s="17"/>
      <c r="P160" s="60"/>
      <c r="Q160" s="242"/>
      <c r="R160" s="242" t="str">
        <f t="shared" si="4"/>
        <v/>
      </c>
      <c r="S160" s="243" t="str">
        <f t="shared" si="5"/>
        <v>-</v>
      </c>
      <c r="T160" s="61"/>
      <c r="U160" s="61"/>
      <c r="V160" s="61"/>
      <c r="W160" s="61"/>
    </row>
    <row r="161" spans="1:79" s="62" customFormat="1" ht="35.1" customHeight="1">
      <c r="A161" s="63"/>
      <c r="B161" s="163"/>
      <c r="C161" s="163"/>
      <c r="D161" s="163"/>
      <c r="E161" s="89"/>
      <c r="F161" s="65"/>
      <c r="G161" s="65"/>
      <c r="H161" s="65"/>
      <c r="I161" s="65"/>
      <c r="J161" s="65"/>
      <c r="K161" s="65"/>
      <c r="L161" s="44"/>
      <c r="M161" s="44">
        <v>0</v>
      </c>
      <c r="N161" s="44">
        <v>0</v>
      </c>
      <c r="O161" s="17"/>
      <c r="P161" s="60"/>
      <c r="Q161" s="242"/>
      <c r="R161" s="242" t="str">
        <f t="shared" si="4"/>
        <v/>
      </c>
      <c r="S161" s="243" t="str">
        <f t="shared" si="5"/>
        <v>-</v>
      </c>
      <c r="T161" s="61"/>
      <c r="U161" s="61"/>
      <c r="V161" s="61"/>
      <c r="W161" s="61"/>
    </row>
    <row r="162" spans="1:79" s="62" customFormat="1" ht="35.1" customHeight="1">
      <c r="A162" s="63"/>
      <c r="B162" s="163"/>
      <c r="C162" s="163"/>
      <c r="D162" s="163"/>
      <c r="E162" s="89"/>
      <c r="F162" s="65"/>
      <c r="G162" s="65"/>
      <c r="H162" s="65"/>
      <c r="I162" s="65"/>
      <c r="J162" s="65"/>
      <c r="K162" s="65"/>
      <c r="L162" s="44"/>
      <c r="M162" s="44"/>
      <c r="N162" s="44"/>
      <c r="O162" s="17"/>
      <c r="P162" s="60"/>
      <c r="Q162" s="242"/>
      <c r="R162" s="242" t="str">
        <f t="shared" si="4"/>
        <v/>
      </c>
      <c r="S162" s="243" t="str">
        <f t="shared" si="5"/>
        <v>-</v>
      </c>
      <c r="T162" s="61"/>
      <c r="U162" s="61"/>
      <c r="V162" s="61"/>
      <c r="W162" s="61"/>
    </row>
    <row r="163" spans="1:79" s="62" customFormat="1" ht="35.1" customHeight="1">
      <c r="A163" s="63"/>
      <c r="B163" s="163"/>
      <c r="C163" s="163"/>
      <c r="D163" s="163"/>
      <c r="E163" s="89"/>
      <c r="F163" s="65"/>
      <c r="G163" s="65"/>
      <c r="H163" s="65"/>
      <c r="I163" s="65"/>
      <c r="J163" s="65"/>
      <c r="K163" s="65"/>
      <c r="L163" s="44"/>
      <c r="M163" s="44">
        <v>0</v>
      </c>
      <c r="N163" s="44">
        <v>0</v>
      </c>
      <c r="O163" s="17"/>
      <c r="P163" s="60"/>
      <c r="Q163" s="242"/>
      <c r="R163" s="242" t="str">
        <f t="shared" si="4"/>
        <v/>
      </c>
      <c r="S163" s="243" t="str">
        <f t="shared" si="5"/>
        <v>-</v>
      </c>
      <c r="T163" s="61"/>
      <c r="U163" s="61"/>
      <c r="V163" s="61"/>
      <c r="W163" s="61"/>
    </row>
    <row r="164" spans="1:79" s="62" customFormat="1" ht="35.1" customHeight="1">
      <c r="A164" s="63"/>
      <c r="B164" s="163"/>
      <c r="C164" s="163"/>
      <c r="D164" s="163"/>
      <c r="E164" s="89"/>
      <c r="F164" s="65"/>
      <c r="G164" s="65"/>
      <c r="H164" s="65"/>
      <c r="I164" s="65"/>
      <c r="J164" s="65"/>
      <c r="K164" s="65"/>
      <c r="L164" s="44"/>
      <c r="M164" s="44">
        <v>0</v>
      </c>
      <c r="N164" s="44">
        <v>0</v>
      </c>
      <c r="O164" s="17"/>
      <c r="P164" s="60"/>
      <c r="Q164" s="242"/>
      <c r="R164" s="242" t="str">
        <f t="shared" si="4"/>
        <v/>
      </c>
      <c r="S164" s="243" t="str">
        <f t="shared" si="5"/>
        <v>-</v>
      </c>
      <c r="T164" s="61"/>
      <c r="U164" s="61"/>
      <c r="V164" s="61"/>
      <c r="W164" s="61"/>
    </row>
    <row r="165" spans="1:79" s="62" customFormat="1" ht="35.1" customHeight="1">
      <c r="A165" s="63"/>
      <c r="B165" s="163"/>
      <c r="C165" s="163"/>
      <c r="D165" s="163"/>
      <c r="E165" s="89"/>
      <c r="F165" s="65"/>
      <c r="G165" s="65"/>
      <c r="H165" s="65"/>
      <c r="I165" s="65"/>
      <c r="J165" s="65"/>
      <c r="K165" s="65"/>
      <c r="L165" s="44"/>
      <c r="M165" s="44">
        <v>0</v>
      </c>
      <c r="N165" s="44">
        <v>0</v>
      </c>
      <c r="O165" s="17"/>
      <c r="P165" s="60"/>
      <c r="Q165" s="242"/>
      <c r="R165" s="242" t="str">
        <f t="shared" si="4"/>
        <v/>
      </c>
      <c r="S165" s="243" t="str">
        <f t="shared" si="5"/>
        <v>-</v>
      </c>
      <c r="T165" s="61"/>
      <c r="U165" s="61"/>
      <c r="V165" s="61"/>
      <c r="W165" s="61"/>
    </row>
    <row r="166" spans="1:79" s="62" customFormat="1" ht="35.1" customHeight="1">
      <c r="A166" s="63"/>
      <c r="B166" s="163"/>
      <c r="C166" s="163"/>
      <c r="D166" s="163"/>
      <c r="E166" s="64"/>
      <c r="F166" s="65"/>
      <c r="G166" s="65"/>
      <c r="H166" s="65"/>
      <c r="I166" s="65"/>
      <c r="J166" s="65"/>
      <c r="K166" s="65"/>
      <c r="L166" s="44"/>
      <c r="M166" s="44"/>
      <c r="N166" s="44"/>
      <c r="O166" s="17"/>
      <c r="P166" s="60"/>
      <c r="Q166" s="242"/>
      <c r="R166" s="242" t="str">
        <f t="shared" si="4"/>
        <v/>
      </c>
      <c r="S166" s="243" t="str">
        <f t="shared" si="5"/>
        <v>-</v>
      </c>
      <c r="T166" s="61"/>
      <c r="U166" s="61"/>
      <c r="V166" s="61"/>
      <c r="W166" s="61"/>
    </row>
    <row r="167" spans="1:79" s="62" customFormat="1" ht="35.1" customHeight="1">
      <c r="A167" s="63"/>
      <c r="B167" s="163"/>
      <c r="C167" s="163"/>
      <c r="D167" s="163"/>
      <c r="E167" s="64"/>
      <c r="F167" s="65"/>
      <c r="G167" s="65"/>
      <c r="H167" s="65"/>
      <c r="I167" s="65"/>
      <c r="J167" s="65"/>
      <c r="K167" s="65"/>
      <c r="L167" s="44"/>
      <c r="M167" s="44"/>
      <c r="N167" s="44"/>
      <c r="O167" s="17"/>
      <c r="P167" s="60"/>
      <c r="Q167" s="242"/>
      <c r="R167" s="242" t="str">
        <f t="shared" si="4"/>
        <v/>
      </c>
      <c r="S167" s="243" t="str">
        <f t="shared" si="5"/>
        <v>-</v>
      </c>
      <c r="T167" s="61"/>
      <c r="U167" s="61"/>
      <c r="V167" s="61"/>
      <c r="W167" s="61"/>
    </row>
    <row r="168" spans="1:79" s="62" customFormat="1" ht="35.1" customHeight="1">
      <c r="A168" s="63"/>
      <c r="B168" s="163"/>
      <c r="C168" s="163"/>
      <c r="D168" s="163"/>
      <c r="E168" s="64"/>
      <c r="F168" s="65"/>
      <c r="G168" s="65"/>
      <c r="H168" s="65"/>
      <c r="I168" s="65"/>
      <c r="J168" s="65"/>
      <c r="K168" s="65"/>
      <c r="L168" s="44"/>
      <c r="M168" s="44"/>
      <c r="N168" s="44"/>
      <c r="O168" s="17"/>
      <c r="P168" s="60"/>
      <c r="Q168" s="242"/>
      <c r="R168" s="242" t="str">
        <f t="shared" si="4"/>
        <v/>
      </c>
      <c r="S168" s="243" t="str">
        <f t="shared" si="5"/>
        <v>-</v>
      </c>
      <c r="T168" s="61"/>
      <c r="U168" s="61"/>
      <c r="V168" s="61"/>
      <c r="W168" s="61"/>
    </row>
    <row r="169" spans="1:79" s="62" customFormat="1" ht="35.1" customHeight="1">
      <c r="A169" s="63"/>
      <c r="B169" s="163"/>
      <c r="C169" s="163"/>
      <c r="D169" s="163"/>
      <c r="E169" s="64"/>
      <c r="F169" s="65"/>
      <c r="G169" s="65"/>
      <c r="H169" s="65"/>
      <c r="I169" s="65"/>
      <c r="J169" s="65"/>
      <c r="K169" s="65"/>
      <c r="L169" s="44"/>
      <c r="M169" s="44"/>
      <c r="N169" s="44"/>
      <c r="O169" s="17"/>
      <c r="P169" s="60"/>
      <c r="Q169" s="242"/>
      <c r="R169" s="242" t="str">
        <f t="shared" si="4"/>
        <v/>
      </c>
      <c r="S169" s="243" t="str">
        <f t="shared" si="5"/>
        <v>-</v>
      </c>
      <c r="T169" s="61"/>
      <c r="U169" s="61"/>
      <c r="V169" s="61"/>
      <c r="W169" s="61"/>
    </row>
    <row r="170" spans="1:79" s="62" customFormat="1" ht="35.1" customHeight="1">
      <c r="A170" s="63"/>
      <c r="B170" s="163"/>
      <c r="C170" s="163"/>
      <c r="D170" s="163"/>
      <c r="E170" s="64"/>
      <c r="F170" s="65"/>
      <c r="G170" s="65"/>
      <c r="H170" s="65"/>
      <c r="I170" s="65"/>
      <c r="J170" s="65"/>
      <c r="K170" s="65"/>
      <c r="L170" s="44"/>
      <c r="M170" s="44"/>
      <c r="N170" s="44"/>
      <c r="O170" s="17"/>
      <c r="P170" s="60"/>
      <c r="Q170" s="242"/>
      <c r="R170" s="242" t="str">
        <f t="shared" si="4"/>
        <v/>
      </c>
      <c r="S170" s="243" t="str">
        <f t="shared" si="5"/>
        <v>-</v>
      </c>
      <c r="T170" s="61"/>
      <c r="U170" s="61"/>
      <c r="V170" s="61"/>
      <c r="W170" s="61"/>
    </row>
    <row r="171" spans="1:79" s="62" customFormat="1" ht="35.1" customHeight="1">
      <c r="A171" s="63"/>
      <c r="B171" s="163"/>
      <c r="C171" s="163"/>
      <c r="D171" s="163"/>
      <c r="E171" s="64"/>
      <c r="F171" s="65"/>
      <c r="G171" s="65"/>
      <c r="H171" s="65"/>
      <c r="I171" s="65"/>
      <c r="J171" s="65"/>
      <c r="K171" s="65"/>
      <c r="L171" s="44"/>
      <c r="M171" s="44"/>
      <c r="N171" s="44"/>
      <c r="O171" s="17"/>
      <c r="P171" s="60"/>
      <c r="Q171" s="242"/>
      <c r="R171" s="242" t="str">
        <f t="shared" si="4"/>
        <v/>
      </c>
      <c r="S171" s="243" t="str">
        <f t="shared" si="5"/>
        <v>-</v>
      </c>
      <c r="T171" s="61"/>
      <c r="U171" s="61"/>
      <c r="V171" s="61"/>
      <c r="W171" s="61"/>
    </row>
    <row r="172" spans="1:79" s="62" customFormat="1" ht="35.1" customHeight="1">
      <c r="A172" s="63"/>
      <c r="B172" s="163"/>
      <c r="C172" s="163"/>
      <c r="D172" s="163"/>
      <c r="E172" s="64"/>
      <c r="F172" s="65"/>
      <c r="G172" s="65"/>
      <c r="H172" s="65"/>
      <c r="I172" s="65"/>
      <c r="J172" s="65"/>
      <c r="K172" s="65"/>
      <c r="L172" s="44"/>
      <c r="M172" s="44"/>
      <c r="N172" s="44"/>
      <c r="O172" s="17"/>
      <c r="P172" s="60"/>
      <c r="Q172" s="242"/>
      <c r="R172" s="242" t="str">
        <f t="shared" si="4"/>
        <v/>
      </c>
      <c r="S172" s="243" t="str">
        <f t="shared" si="5"/>
        <v>-</v>
      </c>
      <c r="T172" s="61"/>
      <c r="U172" s="61"/>
      <c r="V172" s="61"/>
      <c r="W172" s="61"/>
    </row>
    <row r="173" spans="1:79" s="62" customFormat="1" ht="35.1" customHeight="1">
      <c r="A173" s="63"/>
      <c r="B173" s="163"/>
      <c r="C173" s="163"/>
      <c r="D173" s="163"/>
      <c r="E173" s="64"/>
      <c r="F173" s="65"/>
      <c r="G173" s="65"/>
      <c r="H173" s="65"/>
      <c r="I173" s="65"/>
      <c r="J173" s="65"/>
      <c r="K173" s="65"/>
      <c r="L173" s="44"/>
      <c r="M173" s="44"/>
      <c r="N173" s="44"/>
      <c r="O173" s="17"/>
      <c r="P173" s="60"/>
      <c r="Q173" s="242"/>
      <c r="R173" s="242" t="str">
        <f t="shared" si="4"/>
        <v/>
      </c>
      <c r="S173" s="243" t="str">
        <f t="shared" si="5"/>
        <v>-</v>
      </c>
      <c r="T173" s="61"/>
      <c r="U173" s="61"/>
      <c r="V173" s="61"/>
      <c r="W173" s="61"/>
    </row>
    <row r="174" spans="1:79" s="62" customFormat="1" ht="35.1" customHeight="1">
      <c r="A174" s="63"/>
      <c r="B174" s="163"/>
      <c r="C174" s="163"/>
      <c r="D174" s="163"/>
      <c r="E174" s="64"/>
      <c r="F174" s="65"/>
      <c r="G174" s="65"/>
      <c r="H174" s="65"/>
      <c r="I174" s="65"/>
      <c r="J174" s="65"/>
      <c r="K174" s="65"/>
      <c r="L174" s="44"/>
      <c r="M174" s="44"/>
      <c r="N174" s="44"/>
      <c r="O174" s="17"/>
      <c r="P174" s="60"/>
      <c r="Q174" s="242"/>
      <c r="R174" s="242" t="str">
        <f t="shared" si="4"/>
        <v/>
      </c>
      <c r="S174" s="243" t="str">
        <f t="shared" si="5"/>
        <v>-</v>
      </c>
      <c r="T174" s="61"/>
      <c r="U174" s="61"/>
      <c r="V174" s="61"/>
      <c r="W174" s="61"/>
    </row>
    <row r="175" spans="1:79" s="73" customFormat="1" ht="35.1" customHeight="1">
      <c r="A175" s="66" t="s">
        <v>41</v>
      </c>
      <c r="B175" s="67"/>
      <c r="C175" s="67"/>
      <c r="D175" s="67"/>
      <c r="E175" s="67"/>
      <c r="F175" s="68"/>
      <c r="G175" s="69"/>
      <c r="H175" s="69"/>
      <c r="I175" s="69">
        <f>SUM(I155:I174)</f>
        <v>0</v>
      </c>
      <c r="J175" s="70"/>
      <c r="K175" s="70"/>
      <c r="L175" s="70"/>
      <c r="M175" s="70"/>
      <c r="N175" s="70"/>
      <c r="O175" s="71"/>
      <c r="P175" s="60"/>
      <c r="Q175" s="242"/>
      <c r="R175" s="242" t="str">
        <f t="shared" si="4"/>
        <v/>
      </c>
      <c r="S175" s="243" t="str">
        <f t="shared" si="5"/>
        <v>-</v>
      </c>
      <c r="T175" s="61"/>
      <c r="U175" s="61"/>
      <c r="V175" s="61"/>
      <c r="W175" s="61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  <c r="BT175" s="72"/>
      <c r="BU175" s="72"/>
      <c r="BV175" s="72"/>
      <c r="BW175" s="72"/>
      <c r="BX175" s="72"/>
      <c r="BY175" s="72"/>
      <c r="BZ175" s="72"/>
      <c r="CA175" s="72"/>
    </row>
    <row r="176" spans="1:79" s="62" customFormat="1" ht="35.1" customHeight="1">
      <c r="A176" s="58"/>
      <c r="B176" s="161"/>
      <c r="C176" s="161"/>
      <c r="D176" s="161"/>
      <c r="E176" s="82"/>
      <c r="F176" s="59"/>
      <c r="G176" s="59"/>
      <c r="H176" s="59"/>
      <c r="I176" s="59"/>
      <c r="J176" s="59"/>
      <c r="K176" s="59"/>
      <c r="L176" s="43"/>
      <c r="M176" s="43"/>
      <c r="N176" s="43"/>
      <c r="O176" s="16"/>
      <c r="P176" s="60"/>
      <c r="Q176" s="242"/>
      <c r="R176" s="242" t="str">
        <f t="shared" si="4"/>
        <v/>
      </c>
      <c r="S176" s="243" t="str">
        <f t="shared" si="5"/>
        <v>-</v>
      </c>
      <c r="T176" s="61"/>
      <c r="U176" s="61"/>
      <c r="V176" s="61"/>
      <c r="W176" s="61"/>
    </row>
    <row r="177" spans="1:23" s="62" customFormat="1" ht="35.1" customHeight="1">
      <c r="A177" s="92"/>
      <c r="B177" s="162"/>
      <c r="C177" s="162"/>
      <c r="D177" s="162"/>
      <c r="E177" s="96"/>
      <c r="F177" s="93"/>
      <c r="G177" s="93"/>
      <c r="H177" s="93"/>
      <c r="I177" s="93"/>
      <c r="J177" s="93"/>
      <c r="K177" s="93"/>
      <c r="L177" s="94"/>
      <c r="M177" s="94"/>
      <c r="N177" s="94"/>
      <c r="O177" s="95"/>
      <c r="P177" s="60"/>
      <c r="Q177" s="242"/>
      <c r="R177" s="242" t="str">
        <f t="shared" si="4"/>
        <v/>
      </c>
      <c r="S177" s="243" t="str">
        <f t="shared" si="5"/>
        <v>-</v>
      </c>
      <c r="T177" s="61"/>
      <c r="U177" s="61"/>
      <c r="V177" s="61"/>
      <c r="W177" s="61"/>
    </row>
    <row r="178" spans="1:23" s="62" customFormat="1" ht="35.1" customHeight="1">
      <c r="A178" s="63"/>
      <c r="B178" s="163"/>
      <c r="C178" s="163"/>
      <c r="D178" s="163"/>
      <c r="E178" s="83"/>
      <c r="F178" s="65"/>
      <c r="G178" s="65"/>
      <c r="H178" s="65"/>
      <c r="I178" s="65"/>
      <c r="J178" s="65"/>
      <c r="K178" s="65"/>
      <c r="L178" s="44">
        <v>0</v>
      </c>
      <c r="M178" s="44">
        <v>0</v>
      </c>
      <c r="N178" s="44">
        <v>0</v>
      </c>
      <c r="O178" s="17"/>
      <c r="P178" s="60"/>
      <c r="Q178" s="242"/>
      <c r="R178" s="242" t="str">
        <f t="shared" si="4"/>
        <v/>
      </c>
      <c r="S178" s="243" t="str">
        <f t="shared" si="5"/>
        <v>-</v>
      </c>
      <c r="T178" s="61"/>
      <c r="U178" s="61"/>
      <c r="V178" s="61"/>
      <c r="W178" s="61"/>
    </row>
    <row r="179" spans="1:23" s="62" customFormat="1" ht="35.1" customHeight="1">
      <c r="A179" s="63"/>
      <c r="B179" s="163"/>
      <c r="C179" s="163"/>
      <c r="D179" s="163"/>
      <c r="E179" s="84"/>
      <c r="F179" s="65"/>
      <c r="G179" s="65"/>
      <c r="H179" s="65"/>
      <c r="I179" s="65"/>
      <c r="J179" s="65"/>
      <c r="K179" s="65"/>
      <c r="L179" s="44">
        <v>0</v>
      </c>
      <c r="M179" s="44">
        <v>0</v>
      </c>
      <c r="N179" s="44">
        <v>0</v>
      </c>
      <c r="O179" s="17"/>
      <c r="P179" s="60"/>
      <c r="Q179" s="242"/>
      <c r="R179" s="242" t="str">
        <f t="shared" si="4"/>
        <v/>
      </c>
      <c r="S179" s="243" t="str">
        <f t="shared" si="5"/>
        <v>-</v>
      </c>
      <c r="T179" s="61"/>
      <c r="U179" s="61"/>
      <c r="V179" s="61"/>
      <c r="W179" s="61"/>
    </row>
    <row r="180" spans="1:23" s="62" customFormat="1" ht="35.1" customHeight="1">
      <c r="A180" s="63"/>
      <c r="B180" s="163"/>
      <c r="C180" s="163"/>
      <c r="D180" s="163"/>
      <c r="E180" s="89"/>
      <c r="F180" s="65"/>
      <c r="G180" s="65"/>
      <c r="H180" s="65"/>
      <c r="I180" s="65"/>
      <c r="J180" s="65"/>
      <c r="K180" s="65"/>
      <c r="L180" s="44">
        <v>0</v>
      </c>
      <c r="M180" s="44">
        <v>0</v>
      </c>
      <c r="N180" s="44">
        <v>0</v>
      </c>
      <c r="O180" s="17"/>
      <c r="P180" s="60"/>
      <c r="Q180" s="242"/>
      <c r="R180" s="242" t="str">
        <f t="shared" si="4"/>
        <v/>
      </c>
      <c r="S180" s="243" t="str">
        <f t="shared" si="5"/>
        <v>-</v>
      </c>
      <c r="T180" s="61"/>
      <c r="U180" s="61"/>
      <c r="V180" s="61"/>
      <c r="W180" s="61"/>
    </row>
    <row r="181" spans="1:23" s="62" customFormat="1" ht="35.1" customHeight="1">
      <c r="A181" s="63"/>
      <c r="B181" s="163"/>
      <c r="C181" s="163"/>
      <c r="D181" s="163"/>
      <c r="E181" s="89"/>
      <c r="F181" s="65"/>
      <c r="G181" s="65"/>
      <c r="H181" s="65"/>
      <c r="I181" s="65"/>
      <c r="J181" s="65"/>
      <c r="K181" s="65"/>
      <c r="L181" s="44">
        <v>0</v>
      </c>
      <c r="M181" s="44">
        <v>0</v>
      </c>
      <c r="N181" s="44">
        <v>0</v>
      </c>
      <c r="O181" s="17"/>
      <c r="P181" s="60"/>
      <c r="Q181" s="242"/>
      <c r="R181" s="242" t="str">
        <f t="shared" si="4"/>
        <v/>
      </c>
      <c r="S181" s="243" t="str">
        <f t="shared" si="5"/>
        <v>-</v>
      </c>
      <c r="T181" s="61"/>
      <c r="U181" s="61"/>
      <c r="V181" s="61"/>
      <c r="W181" s="61"/>
    </row>
    <row r="182" spans="1:23" s="62" customFormat="1" ht="35.1" customHeight="1">
      <c r="A182" s="63"/>
      <c r="B182" s="163"/>
      <c r="C182" s="163"/>
      <c r="D182" s="163"/>
      <c r="E182" s="89"/>
      <c r="F182" s="65"/>
      <c r="G182" s="65"/>
      <c r="H182" s="65"/>
      <c r="I182" s="65"/>
      <c r="J182" s="65"/>
      <c r="K182" s="65"/>
      <c r="L182" s="44"/>
      <c r="M182" s="44"/>
      <c r="N182" s="44"/>
      <c r="O182" s="17"/>
      <c r="P182" s="60"/>
      <c r="Q182" s="242"/>
      <c r="R182" s="242" t="str">
        <f t="shared" si="4"/>
        <v/>
      </c>
      <c r="S182" s="243" t="str">
        <f t="shared" si="5"/>
        <v>-</v>
      </c>
      <c r="T182" s="61"/>
      <c r="U182" s="61"/>
      <c r="V182" s="61"/>
      <c r="W182" s="61"/>
    </row>
    <row r="183" spans="1:23" s="62" customFormat="1" ht="35.1" customHeight="1">
      <c r="A183" s="63"/>
      <c r="B183" s="163"/>
      <c r="C183" s="163"/>
      <c r="D183" s="163"/>
      <c r="E183" s="89"/>
      <c r="F183" s="65"/>
      <c r="G183" s="65"/>
      <c r="H183" s="65"/>
      <c r="I183" s="65"/>
      <c r="J183" s="65"/>
      <c r="K183" s="65"/>
      <c r="L183" s="44"/>
      <c r="M183" s="44"/>
      <c r="N183" s="44"/>
      <c r="O183" s="17"/>
      <c r="P183" s="60"/>
      <c r="Q183" s="242"/>
      <c r="R183" s="242" t="str">
        <f t="shared" si="4"/>
        <v/>
      </c>
      <c r="S183" s="243" t="str">
        <f t="shared" si="5"/>
        <v>-</v>
      </c>
      <c r="T183" s="61"/>
      <c r="U183" s="61"/>
      <c r="V183" s="61"/>
      <c r="W183" s="61"/>
    </row>
    <row r="184" spans="1:23" s="62" customFormat="1" ht="35.1" customHeight="1">
      <c r="A184" s="63"/>
      <c r="B184" s="163"/>
      <c r="C184" s="163"/>
      <c r="D184" s="163"/>
      <c r="E184" s="89"/>
      <c r="F184" s="65"/>
      <c r="G184" s="65"/>
      <c r="H184" s="65"/>
      <c r="I184" s="65"/>
      <c r="J184" s="65"/>
      <c r="K184" s="65"/>
      <c r="L184" s="44"/>
      <c r="M184" s="44"/>
      <c r="N184" s="44"/>
      <c r="O184" s="17"/>
      <c r="P184" s="60"/>
      <c r="Q184" s="242"/>
      <c r="R184" s="242" t="str">
        <f t="shared" si="4"/>
        <v/>
      </c>
      <c r="S184" s="243" t="str">
        <f t="shared" si="5"/>
        <v>-</v>
      </c>
      <c r="T184" s="61"/>
      <c r="U184" s="61"/>
      <c r="V184" s="61"/>
      <c r="W184" s="61"/>
    </row>
    <row r="185" spans="1:23" s="62" customFormat="1" ht="35.1" customHeight="1">
      <c r="A185" s="63"/>
      <c r="B185" s="163"/>
      <c r="C185" s="163"/>
      <c r="D185" s="163"/>
      <c r="E185" s="89"/>
      <c r="F185" s="65"/>
      <c r="G185" s="65"/>
      <c r="H185" s="65"/>
      <c r="I185" s="65"/>
      <c r="J185" s="65"/>
      <c r="K185" s="65"/>
      <c r="L185" s="44">
        <v>0</v>
      </c>
      <c r="M185" s="44">
        <v>0</v>
      </c>
      <c r="N185" s="44">
        <v>0</v>
      </c>
      <c r="O185" s="17"/>
      <c r="P185" s="60"/>
      <c r="Q185" s="242"/>
      <c r="R185" s="242" t="str">
        <f t="shared" si="4"/>
        <v/>
      </c>
      <c r="S185" s="243" t="str">
        <f t="shared" si="5"/>
        <v>-</v>
      </c>
      <c r="T185" s="61"/>
      <c r="U185" s="61"/>
      <c r="V185" s="61"/>
      <c r="W185" s="61"/>
    </row>
    <row r="186" spans="1:23" s="62" customFormat="1" ht="35.1" customHeight="1">
      <c r="A186" s="63"/>
      <c r="B186" s="163"/>
      <c r="C186" s="163"/>
      <c r="D186" s="163"/>
      <c r="E186" s="89"/>
      <c r="F186" s="65"/>
      <c r="G186" s="65"/>
      <c r="H186" s="65"/>
      <c r="I186" s="65"/>
      <c r="J186" s="65"/>
      <c r="K186" s="65"/>
      <c r="L186" s="44">
        <v>0</v>
      </c>
      <c r="M186" s="44">
        <v>0</v>
      </c>
      <c r="N186" s="44">
        <v>0</v>
      </c>
      <c r="O186" s="17"/>
      <c r="P186" s="60"/>
      <c r="Q186" s="242"/>
      <c r="R186" s="242" t="str">
        <f t="shared" si="4"/>
        <v/>
      </c>
      <c r="S186" s="243" t="str">
        <f t="shared" si="5"/>
        <v>-</v>
      </c>
      <c r="T186" s="61"/>
      <c r="U186" s="61"/>
      <c r="V186" s="61"/>
      <c r="W186" s="61"/>
    </row>
    <row r="187" spans="1:23" s="62" customFormat="1" ht="35.1" customHeight="1">
      <c r="A187" s="63"/>
      <c r="B187" s="163"/>
      <c r="C187" s="163"/>
      <c r="D187" s="163"/>
      <c r="E187" s="64"/>
      <c r="F187" s="65"/>
      <c r="G187" s="65"/>
      <c r="H187" s="65"/>
      <c r="I187" s="65"/>
      <c r="J187" s="65"/>
      <c r="K187" s="65"/>
      <c r="L187" s="44"/>
      <c r="M187" s="44"/>
      <c r="N187" s="44"/>
      <c r="O187" s="17"/>
      <c r="P187" s="60"/>
      <c r="Q187" s="242"/>
      <c r="R187" s="242" t="str">
        <f t="shared" si="4"/>
        <v/>
      </c>
      <c r="S187" s="243" t="str">
        <f t="shared" si="5"/>
        <v>-</v>
      </c>
      <c r="T187" s="61"/>
      <c r="U187" s="61"/>
      <c r="V187" s="61"/>
      <c r="W187" s="61"/>
    </row>
    <row r="188" spans="1:23" s="62" customFormat="1" ht="35.1" customHeight="1">
      <c r="A188" s="63"/>
      <c r="B188" s="163"/>
      <c r="C188" s="163"/>
      <c r="D188" s="163"/>
      <c r="E188" s="64"/>
      <c r="F188" s="65"/>
      <c r="G188" s="65"/>
      <c r="H188" s="65"/>
      <c r="I188" s="65"/>
      <c r="J188" s="65"/>
      <c r="K188" s="65"/>
      <c r="L188" s="44"/>
      <c r="M188" s="44"/>
      <c r="N188" s="44"/>
      <c r="O188" s="17"/>
      <c r="P188" s="60"/>
      <c r="Q188" s="242"/>
      <c r="R188" s="242" t="str">
        <f t="shared" si="4"/>
        <v/>
      </c>
      <c r="S188" s="243" t="str">
        <f t="shared" si="5"/>
        <v>-</v>
      </c>
      <c r="T188" s="61"/>
      <c r="U188" s="61"/>
      <c r="V188" s="61"/>
      <c r="W188" s="61"/>
    </row>
    <row r="189" spans="1:23" s="62" customFormat="1" ht="35.1" customHeight="1">
      <c r="A189" s="63"/>
      <c r="B189" s="163"/>
      <c r="C189" s="163"/>
      <c r="D189" s="163"/>
      <c r="E189" s="64"/>
      <c r="F189" s="65"/>
      <c r="G189" s="65"/>
      <c r="H189" s="65"/>
      <c r="I189" s="65"/>
      <c r="J189" s="65"/>
      <c r="K189" s="65"/>
      <c r="L189" s="44"/>
      <c r="M189" s="44"/>
      <c r="N189" s="44"/>
      <c r="O189" s="17"/>
      <c r="P189" s="60"/>
      <c r="Q189" s="242"/>
      <c r="R189" s="242" t="str">
        <f t="shared" si="4"/>
        <v/>
      </c>
      <c r="S189" s="243" t="str">
        <f t="shared" si="5"/>
        <v>-</v>
      </c>
      <c r="T189" s="61"/>
      <c r="U189" s="61"/>
      <c r="V189" s="61"/>
      <c r="W189" s="61"/>
    </row>
    <row r="190" spans="1:23" s="62" customFormat="1" ht="35.1" customHeight="1">
      <c r="A190" s="63"/>
      <c r="B190" s="163"/>
      <c r="C190" s="163"/>
      <c r="D190" s="163"/>
      <c r="E190" s="64"/>
      <c r="F190" s="65"/>
      <c r="G190" s="65"/>
      <c r="H190" s="65"/>
      <c r="I190" s="65"/>
      <c r="J190" s="65"/>
      <c r="K190" s="65"/>
      <c r="L190" s="44"/>
      <c r="M190" s="44"/>
      <c r="N190" s="44"/>
      <c r="O190" s="17"/>
      <c r="P190" s="60"/>
      <c r="Q190" s="242"/>
      <c r="R190" s="242" t="str">
        <f t="shared" si="4"/>
        <v/>
      </c>
      <c r="S190" s="243" t="str">
        <f t="shared" si="5"/>
        <v>-</v>
      </c>
      <c r="T190" s="61"/>
      <c r="U190" s="61"/>
      <c r="V190" s="61"/>
      <c r="W190" s="61"/>
    </row>
    <row r="191" spans="1:23" s="62" customFormat="1" ht="35.1" customHeight="1">
      <c r="A191" s="63"/>
      <c r="B191" s="163"/>
      <c r="C191" s="163"/>
      <c r="D191" s="163"/>
      <c r="E191" s="64"/>
      <c r="F191" s="65"/>
      <c r="G191" s="65"/>
      <c r="H191" s="65"/>
      <c r="I191" s="65"/>
      <c r="J191" s="65"/>
      <c r="K191" s="65"/>
      <c r="L191" s="44"/>
      <c r="M191" s="44"/>
      <c r="N191" s="44"/>
      <c r="O191" s="17"/>
      <c r="P191" s="60"/>
      <c r="Q191" s="242"/>
      <c r="R191" s="242" t="str">
        <f t="shared" si="4"/>
        <v/>
      </c>
      <c r="S191" s="243" t="str">
        <f t="shared" si="5"/>
        <v>-</v>
      </c>
      <c r="T191" s="61"/>
      <c r="U191" s="61"/>
      <c r="V191" s="61"/>
      <c r="W191" s="61"/>
    </row>
    <row r="192" spans="1:23" s="62" customFormat="1" ht="35.1" customHeight="1">
      <c r="A192" s="63"/>
      <c r="B192" s="163"/>
      <c r="C192" s="163"/>
      <c r="D192" s="163"/>
      <c r="E192" s="64"/>
      <c r="F192" s="65"/>
      <c r="G192" s="65"/>
      <c r="H192" s="65"/>
      <c r="I192" s="65"/>
      <c r="J192" s="65"/>
      <c r="K192" s="65"/>
      <c r="L192" s="44"/>
      <c r="M192" s="44"/>
      <c r="N192" s="44"/>
      <c r="O192" s="17"/>
      <c r="P192" s="60"/>
      <c r="Q192" s="242"/>
      <c r="R192" s="242" t="str">
        <f t="shared" si="4"/>
        <v/>
      </c>
      <c r="S192" s="243" t="str">
        <f t="shared" si="5"/>
        <v>-</v>
      </c>
      <c r="T192" s="61"/>
      <c r="U192" s="61"/>
      <c r="V192" s="61"/>
      <c r="W192" s="61"/>
    </row>
    <row r="193" spans="1:79" s="62" customFormat="1" ht="35.1" customHeight="1">
      <c r="A193" s="63"/>
      <c r="B193" s="163"/>
      <c r="C193" s="163"/>
      <c r="D193" s="163"/>
      <c r="E193" s="64"/>
      <c r="F193" s="65"/>
      <c r="G193" s="65"/>
      <c r="H193" s="65"/>
      <c r="I193" s="65"/>
      <c r="J193" s="65"/>
      <c r="K193" s="65"/>
      <c r="L193" s="44"/>
      <c r="M193" s="44"/>
      <c r="N193" s="44"/>
      <c r="O193" s="17"/>
      <c r="P193" s="60"/>
      <c r="Q193" s="242"/>
      <c r="R193" s="242" t="str">
        <f t="shared" si="4"/>
        <v/>
      </c>
      <c r="S193" s="243" t="str">
        <f t="shared" si="5"/>
        <v>-</v>
      </c>
      <c r="T193" s="61"/>
      <c r="U193" s="61"/>
      <c r="V193" s="61"/>
      <c r="W193" s="61"/>
    </row>
    <row r="194" spans="1:79" s="62" customFormat="1" ht="35.1" customHeight="1">
      <c r="A194" s="63"/>
      <c r="B194" s="163"/>
      <c r="C194" s="163"/>
      <c r="D194" s="163"/>
      <c r="E194" s="64"/>
      <c r="F194" s="65"/>
      <c r="G194" s="65"/>
      <c r="H194" s="65"/>
      <c r="I194" s="65"/>
      <c r="J194" s="65"/>
      <c r="K194" s="65"/>
      <c r="L194" s="44"/>
      <c r="M194" s="44"/>
      <c r="N194" s="44"/>
      <c r="O194" s="17"/>
      <c r="P194" s="60"/>
      <c r="Q194" s="242"/>
      <c r="R194" s="242" t="str">
        <f t="shared" si="4"/>
        <v/>
      </c>
      <c r="S194" s="243" t="str">
        <f t="shared" si="5"/>
        <v>-</v>
      </c>
      <c r="T194" s="61"/>
      <c r="U194" s="61"/>
      <c r="V194" s="61"/>
      <c r="W194" s="61"/>
    </row>
    <row r="195" spans="1:79" s="62" customFormat="1" ht="35.1" customHeight="1">
      <c r="A195" s="63"/>
      <c r="B195" s="163"/>
      <c r="C195" s="163"/>
      <c r="D195" s="163"/>
      <c r="E195" s="64"/>
      <c r="F195" s="65"/>
      <c r="G195" s="65"/>
      <c r="H195" s="65"/>
      <c r="I195" s="65"/>
      <c r="J195" s="65"/>
      <c r="K195" s="65"/>
      <c r="L195" s="44"/>
      <c r="M195" s="44"/>
      <c r="N195" s="44"/>
      <c r="O195" s="17"/>
      <c r="P195" s="60"/>
      <c r="Q195" s="242"/>
      <c r="R195" s="242" t="str">
        <f t="shared" si="4"/>
        <v/>
      </c>
      <c r="S195" s="243" t="str">
        <f t="shared" si="5"/>
        <v>-</v>
      </c>
      <c r="T195" s="61"/>
      <c r="U195" s="61"/>
      <c r="V195" s="61"/>
      <c r="W195" s="61"/>
    </row>
    <row r="196" spans="1:79" s="73" customFormat="1" ht="35.1" customHeight="1">
      <c r="A196" s="66" t="s">
        <v>41</v>
      </c>
      <c r="B196" s="67"/>
      <c r="C196" s="67"/>
      <c r="D196" s="67"/>
      <c r="E196" s="67"/>
      <c r="F196" s="68"/>
      <c r="G196" s="69"/>
      <c r="H196" s="69"/>
      <c r="I196" s="69">
        <f>SUM(I176:I195)</f>
        <v>0</v>
      </c>
      <c r="J196" s="70"/>
      <c r="K196" s="70"/>
      <c r="L196" s="70"/>
      <c r="M196" s="70"/>
      <c r="N196" s="70"/>
      <c r="O196" s="71"/>
      <c r="P196" s="60"/>
      <c r="Q196" s="242"/>
      <c r="R196" s="242" t="str">
        <f t="shared" si="4"/>
        <v/>
      </c>
      <c r="S196" s="243" t="str">
        <f t="shared" si="5"/>
        <v>-</v>
      </c>
      <c r="T196" s="61"/>
      <c r="U196" s="61"/>
      <c r="V196" s="61"/>
      <c r="W196" s="61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72"/>
      <c r="AT196" s="72"/>
      <c r="AU196" s="72"/>
      <c r="AV196" s="72"/>
      <c r="AW196" s="72"/>
      <c r="AX196" s="72"/>
      <c r="AY196" s="72"/>
      <c r="AZ196" s="72"/>
      <c r="BA196" s="72"/>
      <c r="BB196" s="72"/>
      <c r="BC196" s="72"/>
      <c r="BD196" s="72"/>
      <c r="BE196" s="72"/>
      <c r="BF196" s="72"/>
      <c r="BG196" s="72"/>
      <c r="BH196" s="72"/>
      <c r="BI196" s="72"/>
      <c r="BJ196" s="72"/>
      <c r="BK196" s="72"/>
      <c r="BL196" s="72"/>
      <c r="BM196" s="72"/>
      <c r="BN196" s="72"/>
      <c r="BO196" s="72"/>
      <c r="BP196" s="72"/>
      <c r="BQ196" s="72"/>
      <c r="BR196" s="72"/>
      <c r="BS196" s="72"/>
      <c r="BT196" s="72"/>
      <c r="BU196" s="72"/>
      <c r="BV196" s="72"/>
      <c r="BW196" s="72"/>
      <c r="BX196" s="72"/>
      <c r="BY196" s="72"/>
      <c r="BZ196" s="72"/>
      <c r="CA196" s="72"/>
    </row>
    <row r="197" spans="1:79" s="62" customFormat="1" ht="35.1" customHeight="1">
      <c r="A197" s="58"/>
      <c r="B197" s="161"/>
      <c r="C197" s="161"/>
      <c r="D197" s="161"/>
      <c r="E197" s="82"/>
      <c r="F197" s="59"/>
      <c r="G197" s="59"/>
      <c r="H197" s="59"/>
      <c r="I197" s="59"/>
      <c r="J197" s="59"/>
      <c r="K197" s="59"/>
      <c r="L197" s="43"/>
      <c r="M197" s="43"/>
      <c r="N197" s="43"/>
      <c r="O197" s="16"/>
      <c r="P197" s="60"/>
      <c r="Q197" s="242"/>
      <c r="R197" s="242" t="str">
        <f t="shared" si="4"/>
        <v/>
      </c>
      <c r="S197" s="243" t="str">
        <f t="shared" si="5"/>
        <v>-</v>
      </c>
      <c r="T197" s="61"/>
      <c r="U197" s="61"/>
      <c r="V197" s="61"/>
      <c r="W197" s="61"/>
    </row>
    <row r="198" spans="1:79" s="62" customFormat="1" ht="35.1" customHeight="1">
      <c r="A198" s="92"/>
      <c r="B198" s="162"/>
      <c r="C198" s="162"/>
      <c r="D198" s="162"/>
      <c r="E198" s="96"/>
      <c r="F198" s="93"/>
      <c r="G198" s="93"/>
      <c r="H198" s="93"/>
      <c r="I198" s="93"/>
      <c r="J198" s="93"/>
      <c r="K198" s="93"/>
      <c r="L198" s="94"/>
      <c r="M198" s="94"/>
      <c r="N198" s="94"/>
      <c r="O198" s="95"/>
      <c r="P198" s="60"/>
      <c r="Q198" s="242"/>
      <c r="R198" s="242" t="str">
        <f t="shared" si="4"/>
        <v/>
      </c>
      <c r="S198" s="243" t="str">
        <f t="shared" si="5"/>
        <v>-</v>
      </c>
      <c r="T198" s="61"/>
      <c r="U198" s="61"/>
      <c r="V198" s="61"/>
      <c r="W198" s="61"/>
    </row>
    <row r="199" spans="1:79" s="62" customFormat="1" ht="35.1" customHeight="1">
      <c r="A199" s="63"/>
      <c r="B199" s="163"/>
      <c r="C199" s="163"/>
      <c r="D199" s="163"/>
      <c r="E199" s="83"/>
      <c r="F199" s="65"/>
      <c r="G199" s="65"/>
      <c r="H199" s="65"/>
      <c r="I199" s="65"/>
      <c r="J199" s="65"/>
      <c r="K199" s="65"/>
      <c r="L199" s="44"/>
      <c r="M199" s="44">
        <v>0</v>
      </c>
      <c r="N199" s="44">
        <v>0</v>
      </c>
      <c r="O199" s="17"/>
      <c r="P199" s="60"/>
      <c r="Q199" s="242"/>
      <c r="R199" s="242" t="str">
        <f t="shared" ref="R199:R262" si="6">CONCATENATE(F199,J199)</f>
        <v/>
      </c>
      <c r="S199" s="243" t="str">
        <f t="shared" ref="S199:S262" si="7">IF(G199&gt;=I199,"-","err")</f>
        <v>-</v>
      </c>
      <c r="T199" s="61"/>
      <c r="U199" s="61"/>
      <c r="V199" s="61"/>
      <c r="W199" s="61"/>
    </row>
    <row r="200" spans="1:79" s="62" customFormat="1" ht="35.1" customHeight="1">
      <c r="A200" s="63"/>
      <c r="B200" s="163"/>
      <c r="C200" s="163"/>
      <c r="D200" s="163"/>
      <c r="E200" s="84"/>
      <c r="F200" s="65"/>
      <c r="G200" s="65"/>
      <c r="H200" s="65"/>
      <c r="I200" s="65"/>
      <c r="J200" s="65"/>
      <c r="K200" s="65"/>
      <c r="L200" s="44"/>
      <c r="M200" s="44">
        <v>0</v>
      </c>
      <c r="N200" s="44">
        <v>0</v>
      </c>
      <c r="O200" s="17"/>
      <c r="P200" s="60"/>
      <c r="Q200" s="242"/>
      <c r="R200" s="242" t="str">
        <f t="shared" si="6"/>
        <v/>
      </c>
      <c r="S200" s="243" t="str">
        <f t="shared" si="7"/>
        <v>-</v>
      </c>
      <c r="T200" s="61"/>
      <c r="U200" s="61"/>
      <c r="V200" s="61"/>
      <c r="W200" s="61"/>
    </row>
    <row r="201" spans="1:79" s="62" customFormat="1" ht="35.1" customHeight="1">
      <c r="A201" s="63"/>
      <c r="B201" s="163"/>
      <c r="C201" s="163"/>
      <c r="D201" s="163"/>
      <c r="E201" s="89"/>
      <c r="F201" s="65"/>
      <c r="G201" s="65"/>
      <c r="H201" s="65"/>
      <c r="I201" s="65"/>
      <c r="J201" s="65"/>
      <c r="K201" s="65"/>
      <c r="L201" s="44"/>
      <c r="M201" s="44">
        <v>0</v>
      </c>
      <c r="N201" s="44">
        <v>0</v>
      </c>
      <c r="O201" s="17"/>
      <c r="P201" s="60"/>
      <c r="Q201" s="242"/>
      <c r="R201" s="242" t="str">
        <f t="shared" si="6"/>
        <v/>
      </c>
      <c r="S201" s="243" t="str">
        <f t="shared" si="7"/>
        <v>-</v>
      </c>
      <c r="T201" s="61"/>
      <c r="U201" s="61"/>
      <c r="V201" s="61"/>
      <c r="W201" s="61"/>
    </row>
    <row r="202" spans="1:79" s="62" customFormat="1" ht="35.1" customHeight="1">
      <c r="A202" s="63"/>
      <c r="B202" s="163"/>
      <c r="C202" s="163"/>
      <c r="D202" s="163"/>
      <c r="E202" s="89"/>
      <c r="F202" s="65"/>
      <c r="G202" s="65"/>
      <c r="H202" s="65"/>
      <c r="I202" s="65"/>
      <c r="J202" s="65"/>
      <c r="K202" s="65"/>
      <c r="L202" s="44"/>
      <c r="M202" s="44">
        <v>0</v>
      </c>
      <c r="N202" s="44">
        <v>0</v>
      </c>
      <c r="O202" s="17"/>
      <c r="P202" s="60"/>
      <c r="Q202" s="242"/>
      <c r="R202" s="242" t="str">
        <f t="shared" si="6"/>
        <v/>
      </c>
      <c r="S202" s="243" t="str">
        <f t="shared" si="7"/>
        <v>-</v>
      </c>
      <c r="T202" s="61"/>
      <c r="U202" s="61"/>
      <c r="V202" s="61"/>
      <c r="W202" s="61"/>
    </row>
    <row r="203" spans="1:79" s="62" customFormat="1" ht="35.1" customHeight="1">
      <c r="A203" s="63"/>
      <c r="B203" s="163"/>
      <c r="C203" s="163"/>
      <c r="D203" s="163"/>
      <c r="E203" s="89"/>
      <c r="F203" s="65"/>
      <c r="G203" s="65"/>
      <c r="H203" s="65"/>
      <c r="I203" s="65"/>
      <c r="J203" s="65"/>
      <c r="K203" s="65"/>
      <c r="L203" s="44"/>
      <c r="M203" s="44">
        <v>0</v>
      </c>
      <c r="N203" s="44">
        <v>0</v>
      </c>
      <c r="O203" s="17"/>
      <c r="P203" s="60"/>
      <c r="Q203" s="242"/>
      <c r="R203" s="242" t="str">
        <f t="shared" si="6"/>
        <v/>
      </c>
      <c r="S203" s="243" t="str">
        <f t="shared" si="7"/>
        <v>-</v>
      </c>
      <c r="T203" s="61"/>
      <c r="U203" s="61"/>
      <c r="V203" s="61"/>
      <c r="W203" s="61"/>
    </row>
    <row r="204" spans="1:79" s="62" customFormat="1" ht="35.1" customHeight="1">
      <c r="A204" s="63"/>
      <c r="B204" s="163"/>
      <c r="C204" s="163"/>
      <c r="D204" s="163"/>
      <c r="E204" s="89"/>
      <c r="F204" s="65"/>
      <c r="G204" s="65"/>
      <c r="H204" s="65"/>
      <c r="I204" s="65"/>
      <c r="J204" s="65"/>
      <c r="K204" s="65"/>
      <c r="L204" s="44"/>
      <c r="M204" s="44"/>
      <c r="N204" s="44"/>
      <c r="O204" s="17"/>
      <c r="P204" s="60"/>
      <c r="Q204" s="242"/>
      <c r="R204" s="242" t="str">
        <f t="shared" si="6"/>
        <v/>
      </c>
      <c r="S204" s="243" t="str">
        <f t="shared" si="7"/>
        <v>-</v>
      </c>
      <c r="T204" s="61"/>
      <c r="U204" s="61"/>
      <c r="V204" s="61"/>
      <c r="W204" s="61"/>
    </row>
    <row r="205" spans="1:79" s="62" customFormat="1" ht="35.1" customHeight="1">
      <c r="A205" s="63"/>
      <c r="B205" s="163"/>
      <c r="C205" s="163"/>
      <c r="D205" s="163"/>
      <c r="E205" s="89"/>
      <c r="F205" s="65"/>
      <c r="G205" s="65"/>
      <c r="H205" s="65"/>
      <c r="I205" s="65"/>
      <c r="J205" s="65"/>
      <c r="K205" s="65"/>
      <c r="L205" s="44"/>
      <c r="M205" s="44">
        <v>0</v>
      </c>
      <c r="N205" s="44">
        <v>0</v>
      </c>
      <c r="O205" s="17"/>
      <c r="P205" s="60"/>
      <c r="Q205" s="242"/>
      <c r="R205" s="242" t="str">
        <f t="shared" si="6"/>
        <v/>
      </c>
      <c r="S205" s="243" t="str">
        <f t="shared" si="7"/>
        <v>-</v>
      </c>
      <c r="T205" s="61"/>
      <c r="U205" s="61"/>
      <c r="V205" s="61"/>
      <c r="W205" s="61"/>
    </row>
    <row r="206" spans="1:79" s="62" customFormat="1" ht="35.1" customHeight="1">
      <c r="A206" s="63"/>
      <c r="B206" s="163"/>
      <c r="C206" s="163"/>
      <c r="D206" s="163"/>
      <c r="E206" s="89"/>
      <c r="F206" s="65"/>
      <c r="G206" s="65"/>
      <c r="H206" s="65"/>
      <c r="I206" s="65"/>
      <c r="J206" s="65"/>
      <c r="K206" s="65"/>
      <c r="L206" s="44"/>
      <c r="M206" s="44">
        <v>0</v>
      </c>
      <c r="N206" s="44">
        <v>0</v>
      </c>
      <c r="O206" s="17"/>
      <c r="P206" s="60"/>
      <c r="Q206" s="242"/>
      <c r="R206" s="242" t="str">
        <f t="shared" si="6"/>
        <v/>
      </c>
      <c r="S206" s="243" t="str">
        <f t="shared" si="7"/>
        <v>-</v>
      </c>
      <c r="T206" s="61"/>
      <c r="U206" s="61"/>
      <c r="V206" s="61"/>
      <c r="W206" s="61"/>
    </row>
    <row r="207" spans="1:79" s="62" customFormat="1" ht="35.1" customHeight="1">
      <c r="A207" s="63"/>
      <c r="B207" s="163"/>
      <c r="C207" s="163"/>
      <c r="D207" s="163"/>
      <c r="E207" s="89"/>
      <c r="F207" s="65"/>
      <c r="G207" s="65"/>
      <c r="H207" s="65"/>
      <c r="I207" s="65"/>
      <c r="J207" s="65"/>
      <c r="K207" s="65"/>
      <c r="L207" s="44"/>
      <c r="M207" s="44">
        <v>0</v>
      </c>
      <c r="N207" s="44">
        <v>0</v>
      </c>
      <c r="O207" s="17"/>
      <c r="P207" s="60"/>
      <c r="Q207" s="242"/>
      <c r="R207" s="242" t="str">
        <f t="shared" si="6"/>
        <v/>
      </c>
      <c r="S207" s="243" t="str">
        <f t="shared" si="7"/>
        <v>-</v>
      </c>
      <c r="T207" s="61"/>
      <c r="U207" s="61"/>
      <c r="V207" s="61"/>
      <c r="W207" s="61"/>
    </row>
    <row r="208" spans="1:79" s="62" customFormat="1" ht="35.1" customHeight="1">
      <c r="A208" s="63"/>
      <c r="B208" s="163"/>
      <c r="C208" s="163"/>
      <c r="D208" s="163"/>
      <c r="E208" s="64"/>
      <c r="F208" s="65"/>
      <c r="G208" s="65"/>
      <c r="H208" s="65"/>
      <c r="I208" s="65"/>
      <c r="J208" s="65"/>
      <c r="K208" s="65"/>
      <c r="L208" s="44"/>
      <c r="M208" s="44"/>
      <c r="N208" s="44"/>
      <c r="O208" s="17"/>
      <c r="P208" s="60"/>
      <c r="Q208" s="242"/>
      <c r="R208" s="242" t="str">
        <f t="shared" si="6"/>
        <v/>
      </c>
      <c r="S208" s="243" t="str">
        <f t="shared" si="7"/>
        <v>-</v>
      </c>
      <c r="T208" s="61"/>
      <c r="U208" s="61"/>
      <c r="V208" s="61"/>
      <c r="W208" s="61"/>
    </row>
    <row r="209" spans="1:79" s="62" customFormat="1" ht="35.1" customHeight="1">
      <c r="A209" s="63"/>
      <c r="B209" s="163"/>
      <c r="C209" s="163"/>
      <c r="D209" s="163"/>
      <c r="E209" s="64"/>
      <c r="F209" s="65"/>
      <c r="G209" s="65"/>
      <c r="H209" s="65"/>
      <c r="I209" s="65"/>
      <c r="J209" s="65"/>
      <c r="K209" s="65"/>
      <c r="L209" s="44"/>
      <c r="M209" s="44"/>
      <c r="N209" s="44"/>
      <c r="O209" s="17"/>
      <c r="P209" s="60"/>
      <c r="Q209" s="242"/>
      <c r="R209" s="242" t="str">
        <f t="shared" si="6"/>
        <v/>
      </c>
      <c r="S209" s="243" t="str">
        <f t="shared" si="7"/>
        <v>-</v>
      </c>
      <c r="T209" s="61"/>
      <c r="U209" s="61"/>
      <c r="V209" s="61"/>
      <c r="W209" s="61"/>
    </row>
    <row r="210" spans="1:79" s="62" customFormat="1" ht="35.1" customHeight="1">
      <c r="A210" s="63"/>
      <c r="B210" s="163"/>
      <c r="C210" s="163"/>
      <c r="D210" s="163"/>
      <c r="E210" s="64"/>
      <c r="F210" s="65"/>
      <c r="G210" s="65"/>
      <c r="H210" s="65"/>
      <c r="I210" s="65"/>
      <c r="J210" s="65"/>
      <c r="K210" s="65"/>
      <c r="L210" s="44"/>
      <c r="M210" s="44"/>
      <c r="N210" s="44"/>
      <c r="O210" s="17"/>
      <c r="P210" s="60"/>
      <c r="Q210" s="242"/>
      <c r="R210" s="242" t="str">
        <f t="shared" si="6"/>
        <v/>
      </c>
      <c r="S210" s="243" t="str">
        <f t="shared" si="7"/>
        <v>-</v>
      </c>
      <c r="T210" s="61"/>
      <c r="U210" s="61"/>
      <c r="V210" s="61"/>
      <c r="W210" s="61"/>
    </row>
    <row r="211" spans="1:79" s="62" customFormat="1" ht="35.1" customHeight="1">
      <c r="A211" s="63"/>
      <c r="B211" s="163"/>
      <c r="C211" s="163"/>
      <c r="D211" s="163"/>
      <c r="E211" s="64"/>
      <c r="F211" s="65"/>
      <c r="G211" s="65"/>
      <c r="H211" s="65"/>
      <c r="I211" s="65"/>
      <c r="J211" s="65"/>
      <c r="K211" s="65"/>
      <c r="L211" s="44"/>
      <c r="M211" s="44"/>
      <c r="N211" s="44"/>
      <c r="O211" s="17"/>
      <c r="P211" s="60"/>
      <c r="Q211" s="242"/>
      <c r="R211" s="242" t="str">
        <f t="shared" si="6"/>
        <v/>
      </c>
      <c r="S211" s="243" t="str">
        <f t="shared" si="7"/>
        <v>-</v>
      </c>
      <c r="T211" s="61"/>
      <c r="U211" s="61"/>
      <c r="V211" s="61"/>
      <c r="W211" s="61"/>
    </row>
    <row r="212" spans="1:79" s="62" customFormat="1" ht="35.1" customHeight="1">
      <c r="A212" s="63"/>
      <c r="B212" s="163"/>
      <c r="C212" s="163"/>
      <c r="D212" s="163"/>
      <c r="E212" s="64"/>
      <c r="F212" s="65"/>
      <c r="G212" s="65"/>
      <c r="H212" s="65"/>
      <c r="I212" s="65"/>
      <c r="J212" s="65"/>
      <c r="K212" s="65"/>
      <c r="L212" s="44"/>
      <c r="M212" s="44"/>
      <c r="N212" s="44"/>
      <c r="O212" s="17"/>
      <c r="P212" s="60"/>
      <c r="Q212" s="242"/>
      <c r="R212" s="242" t="str">
        <f t="shared" si="6"/>
        <v/>
      </c>
      <c r="S212" s="243" t="str">
        <f t="shared" si="7"/>
        <v>-</v>
      </c>
      <c r="T212" s="61"/>
      <c r="U212" s="61"/>
      <c r="V212" s="61"/>
      <c r="W212" s="61"/>
    </row>
    <row r="213" spans="1:79" s="62" customFormat="1" ht="35.1" customHeight="1">
      <c r="A213" s="63"/>
      <c r="B213" s="163"/>
      <c r="C213" s="163"/>
      <c r="D213" s="163"/>
      <c r="E213" s="64"/>
      <c r="F213" s="65"/>
      <c r="G213" s="65"/>
      <c r="H213" s="65"/>
      <c r="I213" s="65"/>
      <c r="J213" s="65"/>
      <c r="K213" s="65"/>
      <c r="L213" s="44"/>
      <c r="M213" s="44"/>
      <c r="N213" s="44"/>
      <c r="O213" s="17"/>
      <c r="P213" s="60"/>
      <c r="Q213" s="242"/>
      <c r="R213" s="242" t="str">
        <f t="shared" si="6"/>
        <v/>
      </c>
      <c r="S213" s="243" t="str">
        <f t="shared" si="7"/>
        <v>-</v>
      </c>
      <c r="T213" s="61"/>
      <c r="U213" s="61"/>
      <c r="V213" s="61"/>
      <c r="W213" s="61"/>
    </row>
    <row r="214" spans="1:79" s="62" customFormat="1" ht="35.1" customHeight="1">
      <c r="A214" s="63"/>
      <c r="B214" s="163"/>
      <c r="C214" s="163"/>
      <c r="D214" s="163"/>
      <c r="E214" s="64"/>
      <c r="F214" s="65"/>
      <c r="G214" s="65"/>
      <c r="H214" s="65"/>
      <c r="I214" s="65"/>
      <c r="J214" s="65"/>
      <c r="K214" s="65"/>
      <c r="L214" s="44"/>
      <c r="M214" s="44"/>
      <c r="N214" s="44"/>
      <c r="O214" s="17"/>
      <c r="P214" s="60"/>
      <c r="Q214" s="242"/>
      <c r="R214" s="242" t="str">
        <f t="shared" si="6"/>
        <v/>
      </c>
      <c r="S214" s="243" t="str">
        <f t="shared" si="7"/>
        <v>-</v>
      </c>
      <c r="T214" s="61"/>
      <c r="U214" s="61"/>
      <c r="V214" s="61"/>
      <c r="W214" s="61"/>
    </row>
    <row r="215" spans="1:79" s="62" customFormat="1" ht="35.1" customHeight="1">
      <c r="A215" s="63"/>
      <c r="B215" s="163"/>
      <c r="C215" s="163"/>
      <c r="D215" s="163"/>
      <c r="E215" s="64"/>
      <c r="F215" s="65"/>
      <c r="G215" s="65"/>
      <c r="H215" s="65"/>
      <c r="I215" s="65"/>
      <c r="J215" s="65"/>
      <c r="K215" s="65"/>
      <c r="L215" s="44"/>
      <c r="M215" s="44"/>
      <c r="N215" s="44"/>
      <c r="O215" s="17"/>
      <c r="P215" s="60"/>
      <c r="Q215" s="242"/>
      <c r="R215" s="242" t="str">
        <f t="shared" si="6"/>
        <v/>
      </c>
      <c r="S215" s="243" t="str">
        <f t="shared" si="7"/>
        <v>-</v>
      </c>
      <c r="T215" s="61"/>
      <c r="U215" s="61"/>
      <c r="V215" s="61"/>
      <c r="W215" s="61"/>
    </row>
    <row r="216" spans="1:79" s="62" customFormat="1" ht="35.1" customHeight="1">
      <c r="A216" s="63"/>
      <c r="B216" s="163"/>
      <c r="C216" s="163"/>
      <c r="D216" s="163"/>
      <c r="E216" s="64"/>
      <c r="F216" s="65"/>
      <c r="G216" s="65"/>
      <c r="H216" s="65"/>
      <c r="I216" s="65"/>
      <c r="J216" s="65"/>
      <c r="K216" s="65"/>
      <c r="L216" s="44"/>
      <c r="M216" s="44"/>
      <c r="N216" s="44"/>
      <c r="O216" s="17"/>
      <c r="P216" s="60"/>
      <c r="Q216" s="242"/>
      <c r="R216" s="242" t="str">
        <f t="shared" si="6"/>
        <v/>
      </c>
      <c r="S216" s="243" t="str">
        <f t="shared" si="7"/>
        <v>-</v>
      </c>
      <c r="T216" s="61"/>
      <c r="U216" s="61"/>
      <c r="V216" s="61"/>
      <c r="W216" s="61"/>
    </row>
    <row r="217" spans="1:79" s="73" customFormat="1" ht="35.1" customHeight="1">
      <c r="A217" s="66" t="s">
        <v>41</v>
      </c>
      <c r="B217" s="67"/>
      <c r="C217" s="67"/>
      <c r="D217" s="67"/>
      <c r="E217" s="67"/>
      <c r="F217" s="68"/>
      <c r="G217" s="69"/>
      <c r="H217" s="69"/>
      <c r="I217" s="69">
        <f>SUM(I197:I216)</f>
        <v>0</v>
      </c>
      <c r="J217" s="70"/>
      <c r="K217" s="70"/>
      <c r="L217" s="70"/>
      <c r="M217" s="70"/>
      <c r="N217" s="70"/>
      <c r="O217" s="71"/>
      <c r="P217" s="60"/>
      <c r="Q217" s="242"/>
      <c r="R217" s="242" t="str">
        <f t="shared" si="6"/>
        <v/>
      </c>
      <c r="S217" s="243" t="str">
        <f t="shared" si="7"/>
        <v>-</v>
      </c>
      <c r="T217" s="61"/>
      <c r="U217" s="61"/>
      <c r="V217" s="61"/>
      <c r="W217" s="61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72"/>
      <c r="AT217" s="72"/>
      <c r="AU217" s="72"/>
      <c r="AV217" s="72"/>
      <c r="AW217" s="72"/>
      <c r="AX217" s="72"/>
      <c r="AY217" s="72"/>
      <c r="AZ217" s="72"/>
      <c r="BA217" s="72"/>
      <c r="BB217" s="72"/>
      <c r="BC217" s="72"/>
      <c r="BD217" s="72"/>
      <c r="BE217" s="72"/>
      <c r="BF217" s="72"/>
      <c r="BG217" s="72"/>
      <c r="BH217" s="72"/>
      <c r="BI217" s="72"/>
      <c r="BJ217" s="72"/>
      <c r="BK217" s="72"/>
      <c r="BL217" s="72"/>
      <c r="BM217" s="72"/>
      <c r="BN217" s="72"/>
      <c r="BO217" s="72"/>
      <c r="BP217" s="72"/>
      <c r="BQ217" s="72"/>
      <c r="BR217" s="72"/>
      <c r="BS217" s="72"/>
      <c r="BT217" s="72"/>
      <c r="BU217" s="72"/>
      <c r="BV217" s="72"/>
      <c r="BW217" s="72"/>
      <c r="BX217" s="72"/>
      <c r="BY217" s="72"/>
      <c r="BZ217" s="72"/>
      <c r="CA217" s="72"/>
    </row>
    <row r="218" spans="1:79" s="62" customFormat="1" ht="35.1" customHeight="1">
      <c r="A218" s="58"/>
      <c r="B218" s="161"/>
      <c r="C218" s="161"/>
      <c r="D218" s="161"/>
      <c r="E218" s="82"/>
      <c r="F218" s="59"/>
      <c r="G218" s="59"/>
      <c r="H218" s="59"/>
      <c r="I218" s="59"/>
      <c r="J218" s="59"/>
      <c r="K218" s="59"/>
      <c r="L218" s="43"/>
      <c r="M218" s="43"/>
      <c r="N218" s="43"/>
      <c r="O218" s="16"/>
      <c r="P218" s="60"/>
      <c r="Q218" s="242"/>
      <c r="R218" s="242" t="str">
        <f t="shared" si="6"/>
        <v/>
      </c>
      <c r="S218" s="243" t="str">
        <f t="shared" si="7"/>
        <v>-</v>
      </c>
      <c r="T218" s="61"/>
      <c r="U218" s="61"/>
      <c r="V218" s="61"/>
      <c r="W218" s="61"/>
    </row>
    <row r="219" spans="1:79" s="62" customFormat="1" ht="35.1" customHeight="1">
      <c r="A219" s="92"/>
      <c r="B219" s="162"/>
      <c r="C219" s="162"/>
      <c r="D219" s="162"/>
      <c r="E219" s="96"/>
      <c r="F219" s="93"/>
      <c r="G219" s="93"/>
      <c r="H219" s="93"/>
      <c r="I219" s="93"/>
      <c r="J219" s="93"/>
      <c r="K219" s="93"/>
      <c r="L219" s="94"/>
      <c r="M219" s="94"/>
      <c r="N219" s="94"/>
      <c r="O219" s="95"/>
      <c r="P219" s="60"/>
      <c r="Q219" s="242"/>
      <c r="R219" s="242" t="str">
        <f t="shared" si="6"/>
        <v/>
      </c>
      <c r="S219" s="243" t="str">
        <f t="shared" si="7"/>
        <v>-</v>
      </c>
      <c r="T219" s="61"/>
      <c r="U219" s="61"/>
      <c r="V219" s="61"/>
      <c r="W219" s="61"/>
    </row>
    <row r="220" spans="1:79" s="62" customFormat="1" ht="35.1" customHeight="1">
      <c r="A220" s="63"/>
      <c r="B220" s="163"/>
      <c r="C220" s="163"/>
      <c r="D220" s="163"/>
      <c r="E220" s="83"/>
      <c r="F220" s="65"/>
      <c r="G220" s="65"/>
      <c r="H220" s="65"/>
      <c r="I220" s="65"/>
      <c r="J220" s="65"/>
      <c r="K220" s="65"/>
      <c r="L220" s="44">
        <v>0</v>
      </c>
      <c r="M220" s="44">
        <v>0</v>
      </c>
      <c r="N220" s="44">
        <v>0</v>
      </c>
      <c r="O220" s="17"/>
      <c r="P220" s="60"/>
      <c r="Q220" s="242"/>
      <c r="R220" s="242" t="str">
        <f t="shared" si="6"/>
        <v/>
      </c>
      <c r="S220" s="243" t="str">
        <f t="shared" si="7"/>
        <v>-</v>
      </c>
      <c r="T220" s="61"/>
      <c r="U220" s="61"/>
      <c r="V220" s="61"/>
      <c r="W220" s="61"/>
    </row>
    <row r="221" spans="1:79" s="62" customFormat="1" ht="35.1" customHeight="1">
      <c r="A221" s="63"/>
      <c r="B221" s="163"/>
      <c r="C221" s="163"/>
      <c r="D221" s="163"/>
      <c r="E221" s="84"/>
      <c r="F221" s="65"/>
      <c r="G221" s="65"/>
      <c r="H221" s="65"/>
      <c r="I221" s="65"/>
      <c r="J221" s="65"/>
      <c r="K221" s="65"/>
      <c r="L221" s="44">
        <v>0</v>
      </c>
      <c r="M221" s="44">
        <v>0</v>
      </c>
      <c r="N221" s="44">
        <v>0</v>
      </c>
      <c r="O221" s="17"/>
      <c r="P221" s="60"/>
      <c r="Q221" s="242"/>
      <c r="R221" s="242" t="str">
        <f t="shared" si="6"/>
        <v/>
      </c>
      <c r="S221" s="243" t="str">
        <f t="shared" si="7"/>
        <v>-</v>
      </c>
      <c r="T221" s="61"/>
      <c r="U221" s="61"/>
      <c r="V221" s="61"/>
      <c r="W221" s="61"/>
    </row>
    <row r="222" spans="1:79" s="62" customFormat="1" ht="35.1" customHeight="1">
      <c r="A222" s="63"/>
      <c r="B222" s="163"/>
      <c r="C222" s="163"/>
      <c r="D222" s="163"/>
      <c r="E222" s="89"/>
      <c r="F222" s="65"/>
      <c r="G222" s="65"/>
      <c r="H222" s="65"/>
      <c r="I222" s="65"/>
      <c r="J222" s="65"/>
      <c r="K222" s="65"/>
      <c r="L222" s="44">
        <v>0</v>
      </c>
      <c r="M222" s="44">
        <v>0</v>
      </c>
      <c r="N222" s="44">
        <v>0</v>
      </c>
      <c r="O222" s="17"/>
      <c r="P222" s="60"/>
      <c r="Q222" s="242"/>
      <c r="R222" s="242" t="str">
        <f t="shared" si="6"/>
        <v/>
      </c>
      <c r="S222" s="243" t="str">
        <f t="shared" si="7"/>
        <v>-</v>
      </c>
      <c r="T222" s="61"/>
      <c r="U222" s="61"/>
      <c r="V222" s="61"/>
      <c r="W222" s="61"/>
    </row>
    <row r="223" spans="1:79" s="62" customFormat="1" ht="35.1" customHeight="1">
      <c r="A223" s="63"/>
      <c r="B223" s="163"/>
      <c r="C223" s="163"/>
      <c r="D223" s="163"/>
      <c r="E223" s="89"/>
      <c r="F223" s="65"/>
      <c r="G223" s="65"/>
      <c r="H223" s="65"/>
      <c r="I223" s="65"/>
      <c r="J223" s="65"/>
      <c r="K223" s="65"/>
      <c r="L223" s="44">
        <v>0</v>
      </c>
      <c r="M223" s="44">
        <v>0</v>
      </c>
      <c r="N223" s="44">
        <v>0</v>
      </c>
      <c r="O223" s="17"/>
      <c r="P223" s="60"/>
      <c r="Q223" s="242"/>
      <c r="R223" s="242" t="str">
        <f t="shared" si="6"/>
        <v/>
      </c>
      <c r="S223" s="243" t="str">
        <f t="shared" si="7"/>
        <v>-</v>
      </c>
      <c r="T223" s="61"/>
      <c r="U223" s="61"/>
      <c r="V223" s="61"/>
      <c r="W223" s="61"/>
    </row>
    <row r="224" spans="1:79" s="62" customFormat="1" ht="35.1" customHeight="1">
      <c r="A224" s="63"/>
      <c r="B224" s="163"/>
      <c r="C224" s="163"/>
      <c r="D224" s="163"/>
      <c r="E224" s="89"/>
      <c r="F224" s="65"/>
      <c r="G224" s="65"/>
      <c r="H224" s="65"/>
      <c r="I224" s="65"/>
      <c r="J224" s="65"/>
      <c r="K224" s="65"/>
      <c r="L224" s="44"/>
      <c r="M224" s="44"/>
      <c r="N224" s="44"/>
      <c r="O224" s="17"/>
      <c r="P224" s="60"/>
      <c r="Q224" s="242"/>
      <c r="R224" s="242" t="str">
        <f t="shared" si="6"/>
        <v/>
      </c>
      <c r="S224" s="243" t="str">
        <f t="shared" si="7"/>
        <v>-</v>
      </c>
      <c r="T224" s="61"/>
      <c r="U224" s="61"/>
      <c r="V224" s="61"/>
      <c r="W224" s="61"/>
    </row>
    <row r="225" spans="1:79" s="62" customFormat="1" ht="35.1" customHeight="1">
      <c r="A225" s="63"/>
      <c r="B225" s="163"/>
      <c r="C225" s="163"/>
      <c r="D225" s="163"/>
      <c r="E225" s="89"/>
      <c r="F225" s="65"/>
      <c r="G225" s="65"/>
      <c r="H225" s="65"/>
      <c r="I225" s="65"/>
      <c r="J225" s="65"/>
      <c r="K225" s="65"/>
      <c r="L225" s="44"/>
      <c r="M225" s="44"/>
      <c r="N225" s="44"/>
      <c r="O225" s="17"/>
      <c r="P225" s="60"/>
      <c r="Q225" s="242"/>
      <c r="R225" s="242" t="str">
        <f t="shared" si="6"/>
        <v/>
      </c>
      <c r="S225" s="243" t="str">
        <f t="shared" si="7"/>
        <v>-</v>
      </c>
      <c r="T225" s="61"/>
      <c r="U225" s="61"/>
      <c r="V225" s="61"/>
      <c r="W225" s="61"/>
    </row>
    <row r="226" spans="1:79" s="62" customFormat="1" ht="35.1" customHeight="1">
      <c r="A226" s="63"/>
      <c r="B226" s="163"/>
      <c r="C226" s="163"/>
      <c r="D226" s="163"/>
      <c r="E226" s="89"/>
      <c r="F226" s="65"/>
      <c r="G226" s="65"/>
      <c r="H226" s="65"/>
      <c r="I226" s="65"/>
      <c r="J226" s="65"/>
      <c r="K226" s="65"/>
      <c r="L226" s="44"/>
      <c r="M226" s="44"/>
      <c r="N226" s="44"/>
      <c r="O226" s="17"/>
      <c r="P226" s="60"/>
      <c r="Q226" s="242"/>
      <c r="R226" s="242" t="str">
        <f t="shared" si="6"/>
        <v/>
      </c>
      <c r="S226" s="243" t="str">
        <f t="shared" si="7"/>
        <v>-</v>
      </c>
      <c r="T226" s="61"/>
      <c r="U226" s="61"/>
      <c r="V226" s="61"/>
      <c r="W226" s="61"/>
    </row>
    <row r="227" spans="1:79" s="62" customFormat="1" ht="35.1" customHeight="1">
      <c r="A227" s="63"/>
      <c r="B227" s="163"/>
      <c r="C227" s="163"/>
      <c r="D227" s="163"/>
      <c r="E227" s="89"/>
      <c r="F227" s="65"/>
      <c r="G227" s="65"/>
      <c r="H227" s="65"/>
      <c r="I227" s="65"/>
      <c r="J227" s="65"/>
      <c r="K227" s="65"/>
      <c r="L227" s="44">
        <v>0</v>
      </c>
      <c r="M227" s="44">
        <v>0</v>
      </c>
      <c r="N227" s="44">
        <v>0</v>
      </c>
      <c r="O227" s="17"/>
      <c r="P227" s="60"/>
      <c r="Q227" s="242"/>
      <c r="R227" s="242" t="str">
        <f t="shared" si="6"/>
        <v/>
      </c>
      <c r="S227" s="243" t="str">
        <f t="shared" si="7"/>
        <v>-</v>
      </c>
      <c r="T227" s="61"/>
      <c r="U227" s="61"/>
      <c r="V227" s="61"/>
      <c r="W227" s="61"/>
    </row>
    <row r="228" spans="1:79" s="62" customFormat="1" ht="35.1" customHeight="1">
      <c r="A228" s="63"/>
      <c r="B228" s="163"/>
      <c r="C228" s="163"/>
      <c r="D228" s="163"/>
      <c r="E228" s="89"/>
      <c r="F228" s="65"/>
      <c r="G228" s="65"/>
      <c r="H228" s="65"/>
      <c r="I228" s="65"/>
      <c r="J228" s="65"/>
      <c r="K228" s="65"/>
      <c r="L228" s="44">
        <v>0</v>
      </c>
      <c r="M228" s="44">
        <v>0</v>
      </c>
      <c r="N228" s="44">
        <v>0</v>
      </c>
      <c r="O228" s="17"/>
      <c r="P228" s="60"/>
      <c r="Q228" s="242"/>
      <c r="R228" s="242" t="str">
        <f t="shared" si="6"/>
        <v/>
      </c>
      <c r="S228" s="243" t="str">
        <f t="shared" si="7"/>
        <v>-</v>
      </c>
      <c r="T228" s="61"/>
      <c r="U228" s="61"/>
      <c r="V228" s="61"/>
      <c r="W228" s="61"/>
    </row>
    <row r="229" spans="1:79" s="62" customFormat="1" ht="35.1" customHeight="1">
      <c r="A229" s="63"/>
      <c r="B229" s="163"/>
      <c r="C229" s="163"/>
      <c r="D229" s="163"/>
      <c r="E229" s="64"/>
      <c r="F229" s="65"/>
      <c r="G229" s="65"/>
      <c r="H229" s="65"/>
      <c r="I229" s="65"/>
      <c r="J229" s="65"/>
      <c r="K229" s="65"/>
      <c r="L229" s="44"/>
      <c r="M229" s="44"/>
      <c r="N229" s="44"/>
      <c r="O229" s="17"/>
      <c r="P229" s="60"/>
      <c r="Q229" s="242"/>
      <c r="R229" s="242" t="str">
        <f t="shared" si="6"/>
        <v/>
      </c>
      <c r="S229" s="243" t="str">
        <f t="shared" si="7"/>
        <v>-</v>
      </c>
      <c r="T229" s="61"/>
      <c r="U229" s="61"/>
      <c r="V229" s="61"/>
      <c r="W229" s="61"/>
    </row>
    <row r="230" spans="1:79" s="62" customFormat="1" ht="35.1" customHeight="1">
      <c r="A230" s="63"/>
      <c r="B230" s="163"/>
      <c r="C230" s="163"/>
      <c r="D230" s="163"/>
      <c r="E230" s="64"/>
      <c r="F230" s="65"/>
      <c r="G230" s="65"/>
      <c r="H230" s="65"/>
      <c r="I230" s="65"/>
      <c r="J230" s="65"/>
      <c r="K230" s="65"/>
      <c r="L230" s="44"/>
      <c r="M230" s="44"/>
      <c r="N230" s="44"/>
      <c r="O230" s="17"/>
      <c r="P230" s="60"/>
      <c r="Q230" s="242"/>
      <c r="R230" s="242" t="str">
        <f t="shared" si="6"/>
        <v/>
      </c>
      <c r="S230" s="243" t="str">
        <f t="shared" si="7"/>
        <v>-</v>
      </c>
      <c r="T230" s="61"/>
      <c r="U230" s="61"/>
      <c r="V230" s="61"/>
      <c r="W230" s="61"/>
    </row>
    <row r="231" spans="1:79" s="62" customFormat="1" ht="35.1" customHeight="1">
      <c r="A231" s="63"/>
      <c r="B231" s="163"/>
      <c r="C231" s="163"/>
      <c r="D231" s="163"/>
      <c r="E231" s="64"/>
      <c r="F231" s="65"/>
      <c r="G231" s="65"/>
      <c r="H231" s="65"/>
      <c r="I231" s="65"/>
      <c r="J231" s="65"/>
      <c r="K231" s="65"/>
      <c r="L231" s="44"/>
      <c r="M231" s="44"/>
      <c r="N231" s="44"/>
      <c r="O231" s="17"/>
      <c r="P231" s="60"/>
      <c r="Q231" s="242"/>
      <c r="R231" s="242" t="str">
        <f t="shared" si="6"/>
        <v/>
      </c>
      <c r="S231" s="243" t="str">
        <f t="shared" si="7"/>
        <v>-</v>
      </c>
      <c r="T231" s="61"/>
      <c r="U231" s="61"/>
      <c r="V231" s="61"/>
      <c r="W231" s="61"/>
    </row>
    <row r="232" spans="1:79" s="62" customFormat="1" ht="35.1" customHeight="1">
      <c r="A232" s="63"/>
      <c r="B232" s="163"/>
      <c r="C232" s="163"/>
      <c r="D232" s="163"/>
      <c r="E232" s="64"/>
      <c r="F232" s="65"/>
      <c r="G232" s="65"/>
      <c r="H232" s="65"/>
      <c r="I232" s="65"/>
      <c r="J232" s="65"/>
      <c r="K232" s="65"/>
      <c r="L232" s="44"/>
      <c r="M232" s="44"/>
      <c r="N232" s="44"/>
      <c r="O232" s="17"/>
      <c r="P232" s="60"/>
      <c r="Q232" s="242"/>
      <c r="R232" s="242" t="str">
        <f t="shared" si="6"/>
        <v/>
      </c>
      <c r="S232" s="243" t="str">
        <f t="shared" si="7"/>
        <v>-</v>
      </c>
      <c r="T232" s="61"/>
      <c r="U232" s="61"/>
      <c r="V232" s="61"/>
      <c r="W232" s="61"/>
    </row>
    <row r="233" spans="1:79" s="62" customFormat="1" ht="35.1" customHeight="1">
      <c r="A233" s="63"/>
      <c r="B233" s="163"/>
      <c r="C233" s="163"/>
      <c r="D233" s="163"/>
      <c r="E233" s="64"/>
      <c r="F233" s="65"/>
      <c r="G233" s="65"/>
      <c r="H233" s="65"/>
      <c r="I233" s="65"/>
      <c r="J233" s="65"/>
      <c r="K233" s="65"/>
      <c r="L233" s="44"/>
      <c r="M233" s="44"/>
      <c r="N233" s="44"/>
      <c r="O233" s="17"/>
      <c r="P233" s="60"/>
      <c r="Q233" s="242"/>
      <c r="R233" s="242" t="str">
        <f t="shared" si="6"/>
        <v/>
      </c>
      <c r="S233" s="243" t="str">
        <f t="shared" si="7"/>
        <v>-</v>
      </c>
      <c r="T233" s="61"/>
      <c r="U233" s="61"/>
      <c r="V233" s="61"/>
      <c r="W233" s="61"/>
    </row>
    <row r="234" spans="1:79" s="62" customFormat="1" ht="35.1" customHeight="1">
      <c r="A234" s="63"/>
      <c r="B234" s="163"/>
      <c r="C234" s="163"/>
      <c r="D234" s="163"/>
      <c r="E234" s="64"/>
      <c r="F234" s="65"/>
      <c r="G234" s="65"/>
      <c r="H234" s="65"/>
      <c r="I234" s="65"/>
      <c r="J234" s="65"/>
      <c r="K234" s="65"/>
      <c r="L234" s="44"/>
      <c r="M234" s="44"/>
      <c r="N234" s="44"/>
      <c r="O234" s="17"/>
      <c r="P234" s="60"/>
      <c r="Q234" s="242"/>
      <c r="R234" s="242" t="str">
        <f t="shared" si="6"/>
        <v/>
      </c>
      <c r="S234" s="243" t="str">
        <f t="shared" si="7"/>
        <v>-</v>
      </c>
      <c r="T234" s="61"/>
      <c r="U234" s="61"/>
      <c r="V234" s="61"/>
      <c r="W234" s="61"/>
    </row>
    <row r="235" spans="1:79" s="62" customFormat="1" ht="35.1" customHeight="1">
      <c r="A235" s="63"/>
      <c r="B235" s="163"/>
      <c r="C235" s="163"/>
      <c r="D235" s="163"/>
      <c r="E235" s="64"/>
      <c r="F235" s="65"/>
      <c r="G235" s="65"/>
      <c r="H235" s="65"/>
      <c r="I235" s="65"/>
      <c r="J235" s="65"/>
      <c r="K235" s="65"/>
      <c r="L235" s="44"/>
      <c r="M235" s="44"/>
      <c r="N235" s="44"/>
      <c r="O235" s="17"/>
      <c r="P235" s="60"/>
      <c r="Q235" s="242"/>
      <c r="R235" s="242" t="str">
        <f t="shared" si="6"/>
        <v/>
      </c>
      <c r="S235" s="243" t="str">
        <f t="shared" si="7"/>
        <v>-</v>
      </c>
      <c r="T235" s="61"/>
      <c r="U235" s="61"/>
      <c r="V235" s="61"/>
      <c r="W235" s="61"/>
    </row>
    <row r="236" spans="1:79" s="62" customFormat="1" ht="35.1" customHeight="1">
      <c r="A236" s="63"/>
      <c r="B236" s="163"/>
      <c r="C236" s="163"/>
      <c r="D236" s="163"/>
      <c r="E236" s="64"/>
      <c r="F236" s="65"/>
      <c r="G236" s="65"/>
      <c r="H236" s="65"/>
      <c r="I236" s="65"/>
      <c r="J236" s="65"/>
      <c r="K236" s="65"/>
      <c r="L236" s="44"/>
      <c r="M236" s="44"/>
      <c r="N236" s="44"/>
      <c r="O236" s="17"/>
      <c r="P236" s="60"/>
      <c r="Q236" s="242"/>
      <c r="R236" s="242" t="str">
        <f t="shared" si="6"/>
        <v/>
      </c>
      <c r="S236" s="243" t="str">
        <f t="shared" si="7"/>
        <v>-</v>
      </c>
      <c r="T236" s="61"/>
      <c r="U236" s="61"/>
      <c r="V236" s="61"/>
      <c r="W236" s="61"/>
    </row>
    <row r="237" spans="1:79" s="62" customFormat="1" ht="35.1" customHeight="1">
      <c r="A237" s="63"/>
      <c r="B237" s="163"/>
      <c r="C237" s="163"/>
      <c r="D237" s="163"/>
      <c r="E237" s="64"/>
      <c r="F237" s="65"/>
      <c r="G237" s="65"/>
      <c r="H237" s="65"/>
      <c r="I237" s="65"/>
      <c r="J237" s="65"/>
      <c r="K237" s="65"/>
      <c r="L237" s="44"/>
      <c r="M237" s="44"/>
      <c r="N237" s="44"/>
      <c r="O237" s="17"/>
      <c r="P237" s="60"/>
      <c r="Q237" s="242"/>
      <c r="R237" s="242" t="str">
        <f t="shared" si="6"/>
        <v/>
      </c>
      <c r="S237" s="243" t="str">
        <f t="shared" si="7"/>
        <v>-</v>
      </c>
      <c r="T237" s="61"/>
      <c r="U237" s="61"/>
      <c r="V237" s="61"/>
      <c r="W237" s="61"/>
    </row>
    <row r="238" spans="1:79" s="73" customFormat="1" ht="35.1" customHeight="1">
      <c r="A238" s="66" t="s">
        <v>41</v>
      </c>
      <c r="B238" s="67"/>
      <c r="C238" s="67"/>
      <c r="D238" s="67"/>
      <c r="E238" s="67"/>
      <c r="F238" s="68"/>
      <c r="G238" s="69"/>
      <c r="H238" s="69"/>
      <c r="I238" s="69">
        <f>SUM(I218:I237)</f>
        <v>0</v>
      </c>
      <c r="J238" s="70"/>
      <c r="K238" s="70"/>
      <c r="L238" s="70"/>
      <c r="M238" s="70"/>
      <c r="N238" s="70"/>
      <c r="O238" s="71"/>
      <c r="P238" s="60"/>
      <c r="Q238" s="242"/>
      <c r="R238" s="242" t="str">
        <f t="shared" si="6"/>
        <v/>
      </c>
      <c r="S238" s="243" t="str">
        <f t="shared" si="7"/>
        <v>-</v>
      </c>
      <c r="T238" s="61"/>
      <c r="U238" s="61"/>
      <c r="V238" s="61"/>
      <c r="W238" s="61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2"/>
      <c r="BA238" s="72"/>
      <c r="BB238" s="72"/>
      <c r="BC238" s="72"/>
      <c r="BD238" s="72"/>
      <c r="BE238" s="72"/>
      <c r="BF238" s="72"/>
      <c r="BG238" s="72"/>
      <c r="BH238" s="72"/>
      <c r="BI238" s="72"/>
      <c r="BJ238" s="72"/>
      <c r="BK238" s="72"/>
      <c r="BL238" s="72"/>
      <c r="BM238" s="72"/>
      <c r="BN238" s="72"/>
      <c r="BO238" s="72"/>
      <c r="BP238" s="72"/>
      <c r="BQ238" s="72"/>
      <c r="BR238" s="72"/>
      <c r="BS238" s="72"/>
      <c r="BT238" s="72"/>
      <c r="BU238" s="72"/>
      <c r="BV238" s="72"/>
      <c r="BW238" s="72"/>
      <c r="BX238" s="72"/>
      <c r="BY238" s="72"/>
      <c r="BZ238" s="72"/>
      <c r="CA238" s="72"/>
    </row>
    <row r="239" spans="1:79" s="62" customFormat="1" ht="35.1" customHeight="1">
      <c r="A239" s="58"/>
      <c r="B239" s="161"/>
      <c r="C239" s="161"/>
      <c r="D239" s="161"/>
      <c r="E239" s="82"/>
      <c r="F239" s="59"/>
      <c r="G239" s="59"/>
      <c r="H239" s="59"/>
      <c r="I239" s="59"/>
      <c r="J239" s="59"/>
      <c r="K239" s="59"/>
      <c r="L239" s="43"/>
      <c r="M239" s="43"/>
      <c r="N239" s="43"/>
      <c r="O239" s="16"/>
      <c r="P239" s="60"/>
      <c r="Q239" s="242"/>
      <c r="R239" s="242" t="str">
        <f t="shared" si="6"/>
        <v/>
      </c>
      <c r="S239" s="243" t="str">
        <f t="shared" si="7"/>
        <v>-</v>
      </c>
      <c r="T239" s="61"/>
      <c r="U239" s="61"/>
      <c r="V239" s="61"/>
      <c r="W239" s="61"/>
    </row>
    <row r="240" spans="1:79" s="62" customFormat="1" ht="35.1" customHeight="1">
      <c r="A240" s="92"/>
      <c r="B240" s="162"/>
      <c r="C240" s="162"/>
      <c r="D240" s="162"/>
      <c r="E240" s="96"/>
      <c r="F240" s="93"/>
      <c r="G240" s="93"/>
      <c r="H240" s="93"/>
      <c r="I240" s="93"/>
      <c r="J240" s="93"/>
      <c r="K240" s="93"/>
      <c r="L240" s="94"/>
      <c r="M240" s="94"/>
      <c r="N240" s="94"/>
      <c r="O240" s="95"/>
      <c r="P240" s="60"/>
      <c r="Q240" s="242"/>
      <c r="R240" s="242" t="str">
        <f t="shared" si="6"/>
        <v/>
      </c>
      <c r="S240" s="243" t="str">
        <f t="shared" si="7"/>
        <v>-</v>
      </c>
      <c r="T240" s="61"/>
      <c r="U240" s="61"/>
      <c r="V240" s="61"/>
      <c r="W240" s="61"/>
    </row>
    <row r="241" spans="1:23" s="62" customFormat="1" ht="35.1" customHeight="1">
      <c r="A241" s="63"/>
      <c r="B241" s="163"/>
      <c r="C241" s="163"/>
      <c r="D241" s="163"/>
      <c r="E241" s="83"/>
      <c r="F241" s="65"/>
      <c r="G241" s="65"/>
      <c r="H241" s="65"/>
      <c r="I241" s="65"/>
      <c r="J241" s="65"/>
      <c r="K241" s="65"/>
      <c r="L241" s="44"/>
      <c r="M241" s="44">
        <v>0</v>
      </c>
      <c r="N241" s="44">
        <v>0</v>
      </c>
      <c r="O241" s="17"/>
      <c r="P241" s="60"/>
      <c r="Q241" s="242"/>
      <c r="R241" s="242" t="str">
        <f t="shared" si="6"/>
        <v/>
      </c>
      <c r="S241" s="243" t="str">
        <f t="shared" si="7"/>
        <v>-</v>
      </c>
      <c r="T241" s="61"/>
      <c r="U241" s="61"/>
      <c r="V241" s="61"/>
      <c r="W241" s="61"/>
    </row>
    <row r="242" spans="1:23" s="62" customFormat="1" ht="35.1" customHeight="1">
      <c r="A242" s="63"/>
      <c r="B242" s="163"/>
      <c r="C242" s="163"/>
      <c r="D242" s="163"/>
      <c r="E242" s="84"/>
      <c r="F242" s="65"/>
      <c r="G242" s="65"/>
      <c r="H242" s="65"/>
      <c r="I242" s="65"/>
      <c r="J242" s="65"/>
      <c r="K242" s="65"/>
      <c r="L242" s="44"/>
      <c r="M242" s="44">
        <v>0</v>
      </c>
      <c r="N242" s="44">
        <v>0</v>
      </c>
      <c r="O242" s="17"/>
      <c r="P242" s="60"/>
      <c r="Q242" s="242"/>
      <c r="R242" s="242" t="str">
        <f t="shared" si="6"/>
        <v/>
      </c>
      <c r="S242" s="243" t="str">
        <f t="shared" si="7"/>
        <v>-</v>
      </c>
      <c r="T242" s="61"/>
      <c r="U242" s="61"/>
      <c r="V242" s="61"/>
      <c r="W242" s="61"/>
    </row>
    <row r="243" spans="1:23" s="62" customFormat="1" ht="35.1" customHeight="1">
      <c r="A243" s="63"/>
      <c r="B243" s="163"/>
      <c r="C243" s="163"/>
      <c r="D243" s="163"/>
      <c r="E243" s="89"/>
      <c r="F243" s="65"/>
      <c r="G243" s="65"/>
      <c r="H243" s="65"/>
      <c r="I243" s="65"/>
      <c r="J243" s="65"/>
      <c r="K243" s="65"/>
      <c r="L243" s="44"/>
      <c r="M243" s="44">
        <v>0</v>
      </c>
      <c r="N243" s="44">
        <v>0</v>
      </c>
      <c r="O243" s="17"/>
      <c r="P243" s="60"/>
      <c r="Q243" s="242"/>
      <c r="R243" s="242" t="str">
        <f t="shared" si="6"/>
        <v/>
      </c>
      <c r="S243" s="243" t="str">
        <f t="shared" si="7"/>
        <v>-</v>
      </c>
      <c r="T243" s="61"/>
      <c r="U243" s="61"/>
      <c r="V243" s="61"/>
      <c r="W243" s="61"/>
    </row>
    <row r="244" spans="1:23" s="62" customFormat="1" ht="35.1" customHeight="1">
      <c r="A244" s="63"/>
      <c r="B244" s="163"/>
      <c r="C244" s="163"/>
      <c r="D244" s="163"/>
      <c r="E244" s="89"/>
      <c r="F244" s="65"/>
      <c r="G244" s="65"/>
      <c r="H244" s="65"/>
      <c r="I244" s="65"/>
      <c r="J244" s="65"/>
      <c r="K244" s="65"/>
      <c r="L244" s="44"/>
      <c r="M244" s="44">
        <v>0</v>
      </c>
      <c r="N244" s="44">
        <v>0</v>
      </c>
      <c r="O244" s="17"/>
      <c r="P244" s="60"/>
      <c r="Q244" s="242"/>
      <c r="R244" s="242" t="str">
        <f t="shared" si="6"/>
        <v/>
      </c>
      <c r="S244" s="243" t="str">
        <f t="shared" si="7"/>
        <v>-</v>
      </c>
      <c r="T244" s="61"/>
      <c r="U244" s="61"/>
      <c r="V244" s="61"/>
      <c r="W244" s="61"/>
    </row>
    <row r="245" spans="1:23" s="62" customFormat="1" ht="35.1" customHeight="1">
      <c r="A245" s="63"/>
      <c r="B245" s="163"/>
      <c r="C245" s="163"/>
      <c r="D245" s="163"/>
      <c r="E245" s="89"/>
      <c r="F245" s="65"/>
      <c r="G245" s="65"/>
      <c r="H245" s="65"/>
      <c r="I245" s="65"/>
      <c r="J245" s="65"/>
      <c r="K245" s="65"/>
      <c r="L245" s="44"/>
      <c r="M245" s="44">
        <v>0</v>
      </c>
      <c r="N245" s="44">
        <v>0</v>
      </c>
      <c r="O245" s="17"/>
      <c r="P245" s="60"/>
      <c r="Q245" s="242"/>
      <c r="R245" s="242" t="str">
        <f t="shared" si="6"/>
        <v/>
      </c>
      <c r="S245" s="243" t="str">
        <f t="shared" si="7"/>
        <v>-</v>
      </c>
      <c r="T245" s="61"/>
      <c r="U245" s="61"/>
      <c r="V245" s="61"/>
      <c r="W245" s="61"/>
    </row>
    <row r="246" spans="1:23" s="62" customFormat="1" ht="35.1" customHeight="1">
      <c r="A246" s="63"/>
      <c r="B246" s="163"/>
      <c r="C246" s="163"/>
      <c r="D246" s="163"/>
      <c r="E246" s="89"/>
      <c r="F246" s="65"/>
      <c r="G246" s="65"/>
      <c r="H246" s="65"/>
      <c r="I246" s="65"/>
      <c r="J246" s="65"/>
      <c r="K246" s="65"/>
      <c r="L246" s="44"/>
      <c r="M246" s="44"/>
      <c r="N246" s="44"/>
      <c r="O246" s="17"/>
      <c r="P246" s="60"/>
      <c r="Q246" s="242"/>
      <c r="R246" s="242" t="str">
        <f t="shared" si="6"/>
        <v/>
      </c>
      <c r="S246" s="243" t="str">
        <f t="shared" si="7"/>
        <v>-</v>
      </c>
      <c r="T246" s="61"/>
      <c r="U246" s="61"/>
      <c r="V246" s="61"/>
      <c r="W246" s="61"/>
    </row>
    <row r="247" spans="1:23" s="62" customFormat="1" ht="35.1" customHeight="1">
      <c r="A247" s="63"/>
      <c r="B247" s="163"/>
      <c r="C247" s="163"/>
      <c r="D247" s="163"/>
      <c r="E247" s="89"/>
      <c r="F247" s="65"/>
      <c r="G247" s="65"/>
      <c r="H247" s="65"/>
      <c r="I247" s="65"/>
      <c r="J247" s="65"/>
      <c r="K247" s="65"/>
      <c r="L247" s="44"/>
      <c r="M247" s="44">
        <v>0</v>
      </c>
      <c r="N247" s="44">
        <v>0</v>
      </c>
      <c r="O247" s="17"/>
      <c r="P247" s="60"/>
      <c r="Q247" s="242"/>
      <c r="R247" s="242" t="str">
        <f t="shared" si="6"/>
        <v/>
      </c>
      <c r="S247" s="243" t="str">
        <f t="shared" si="7"/>
        <v>-</v>
      </c>
      <c r="T247" s="61"/>
      <c r="U247" s="61"/>
      <c r="V247" s="61"/>
      <c r="W247" s="61"/>
    </row>
    <row r="248" spans="1:23" s="62" customFormat="1" ht="35.1" customHeight="1">
      <c r="A248" s="63"/>
      <c r="B248" s="163"/>
      <c r="C248" s="163"/>
      <c r="D248" s="163"/>
      <c r="E248" s="89"/>
      <c r="F248" s="65"/>
      <c r="G248" s="65"/>
      <c r="H248" s="65"/>
      <c r="I248" s="65"/>
      <c r="J248" s="65"/>
      <c r="K248" s="65"/>
      <c r="L248" s="44"/>
      <c r="M248" s="44">
        <v>0</v>
      </c>
      <c r="N248" s="44">
        <v>0</v>
      </c>
      <c r="O248" s="17"/>
      <c r="P248" s="60"/>
      <c r="Q248" s="242"/>
      <c r="R248" s="242" t="str">
        <f t="shared" si="6"/>
        <v/>
      </c>
      <c r="S248" s="243" t="str">
        <f t="shared" si="7"/>
        <v>-</v>
      </c>
      <c r="T248" s="61"/>
      <c r="U248" s="61"/>
      <c r="V248" s="61"/>
      <c r="W248" s="61"/>
    </row>
    <row r="249" spans="1:23" s="62" customFormat="1" ht="35.1" customHeight="1">
      <c r="A249" s="63"/>
      <c r="B249" s="163"/>
      <c r="C249" s="163"/>
      <c r="D249" s="163"/>
      <c r="E249" s="89"/>
      <c r="F249" s="65"/>
      <c r="G249" s="65"/>
      <c r="H249" s="65"/>
      <c r="I249" s="65"/>
      <c r="J249" s="65"/>
      <c r="K249" s="65"/>
      <c r="L249" s="44"/>
      <c r="M249" s="44">
        <v>0</v>
      </c>
      <c r="N249" s="44">
        <v>0</v>
      </c>
      <c r="O249" s="17"/>
      <c r="P249" s="60"/>
      <c r="Q249" s="242"/>
      <c r="R249" s="242" t="str">
        <f t="shared" si="6"/>
        <v/>
      </c>
      <c r="S249" s="243" t="str">
        <f t="shared" si="7"/>
        <v>-</v>
      </c>
      <c r="T249" s="61"/>
      <c r="U249" s="61"/>
      <c r="V249" s="61"/>
      <c r="W249" s="61"/>
    </row>
    <row r="250" spans="1:23" s="62" customFormat="1" ht="35.1" customHeight="1">
      <c r="A250" s="63"/>
      <c r="B250" s="163"/>
      <c r="C250" s="163"/>
      <c r="D250" s="163"/>
      <c r="E250" s="64"/>
      <c r="F250" s="65"/>
      <c r="G250" s="65"/>
      <c r="H250" s="65"/>
      <c r="I250" s="65"/>
      <c r="J250" s="65"/>
      <c r="K250" s="65"/>
      <c r="L250" s="44"/>
      <c r="M250" s="44"/>
      <c r="N250" s="44"/>
      <c r="O250" s="17"/>
      <c r="P250" s="60"/>
      <c r="Q250" s="242"/>
      <c r="R250" s="242" t="str">
        <f t="shared" si="6"/>
        <v/>
      </c>
      <c r="S250" s="243" t="str">
        <f t="shared" si="7"/>
        <v>-</v>
      </c>
      <c r="T250" s="61"/>
      <c r="U250" s="61"/>
      <c r="V250" s="61"/>
      <c r="W250" s="61"/>
    </row>
    <row r="251" spans="1:23" s="62" customFormat="1" ht="35.1" customHeight="1">
      <c r="A251" s="63"/>
      <c r="B251" s="163"/>
      <c r="C251" s="163"/>
      <c r="D251" s="163"/>
      <c r="E251" s="64"/>
      <c r="F251" s="65"/>
      <c r="G251" s="65"/>
      <c r="H251" s="65"/>
      <c r="I251" s="65"/>
      <c r="J251" s="65"/>
      <c r="K251" s="65"/>
      <c r="L251" s="44"/>
      <c r="M251" s="44"/>
      <c r="N251" s="44"/>
      <c r="O251" s="17"/>
      <c r="P251" s="60"/>
      <c r="Q251" s="242"/>
      <c r="R251" s="242" t="str">
        <f t="shared" si="6"/>
        <v/>
      </c>
      <c r="S251" s="243" t="str">
        <f t="shared" si="7"/>
        <v>-</v>
      </c>
      <c r="T251" s="61"/>
      <c r="U251" s="61"/>
      <c r="V251" s="61"/>
      <c r="W251" s="61"/>
    </row>
    <row r="252" spans="1:23" s="62" customFormat="1" ht="35.1" customHeight="1">
      <c r="A252" s="63"/>
      <c r="B252" s="163"/>
      <c r="C252" s="163"/>
      <c r="D252" s="163"/>
      <c r="E252" s="64"/>
      <c r="F252" s="65"/>
      <c r="G252" s="65"/>
      <c r="H252" s="65"/>
      <c r="I252" s="65"/>
      <c r="J252" s="65"/>
      <c r="K252" s="65"/>
      <c r="L252" s="44"/>
      <c r="M252" s="44"/>
      <c r="N252" s="44"/>
      <c r="O252" s="17"/>
      <c r="P252" s="60"/>
      <c r="Q252" s="242"/>
      <c r="R252" s="242" t="str">
        <f t="shared" si="6"/>
        <v/>
      </c>
      <c r="S252" s="243" t="str">
        <f t="shared" si="7"/>
        <v>-</v>
      </c>
      <c r="T252" s="61"/>
      <c r="U252" s="61"/>
      <c r="V252" s="61"/>
      <c r="W252" s="61"/>
    </row>
    <row r="253" spans="1:23" s="62" customFormat="1" ht="35.1" customHeight="1">
      <c r="A253" s="63"/>
      <c r="B253" s="163"/>
      <c r="C253" s="163"/>
      <c r="D253" s="163"/>
      <c r="E253" s="64"/>
      <c r="F253" s="65"/>
      <c r="G253" s="65"/>
      <c r="H253" s="65"/>
      <c r="I253" s="65"/>
      <c r="J253" s="65"/>
      <c r="K253" s="65"/>
      <c r="L253" s="44"/>
      <c r="M253" s="44"/>
      <c r="N253" s="44"/>
      <c r="O253" s="17"/>
      <c r="P253" s="60"/>
      <c r="Q253" s="242"/>
      <c r="R253" s="242" t="str">
        <f t="shared" si="6"/>
        <v/>
      </c>
      <c r="S253" s="243" t="str">
        <f t="shared" si="7"/>
        <v>-</v>
      </c>
      <c r="T253" s="61"/>
      <c r="U253" s="61"/>
      <c r="V253" s="61"/>
      <c r="W253" s="61"/>
    </row>
    <row r="254" spans="1:23" s="62" customFormat="1" ht="35.1" customHeight="1">
      <c r="A254" s="63"/>
      <c r="B254" s="163"/>
      <c r="C254" s="163"/>
      <c r="D254" s="163"/>
      <c r="E254" s="64"/>
      <c r="F254" s="65"/>
      <c r="G254" s="65"/>
      <c r="H254" s="65"/>
      <c r="I254" s="65"/>
      <c r="J254" s="65"/>
      <c r="K254" s="65"/>
      <c r="L254" s="44"/>
      <c r="M254" s="44"/>
      <c r="N254" s="44"/>
      <c r="O254" s="17"/>
      <c r="P254" s="60"/>
      <c r="Q254" s="242"/>
      <c r="R254" s="242" t="str">
        <f t="shared" si="6"/>
        <v/>
      </c>
      <c r="S254" s="243" t="str">
        <f t="shared" si="7"/>
        <v>-</v>
      </c>
      <c r="T254" s="61"/>
      <c r="U254" s="61"/>
      <c r="V254" s="61"/>
      <c r="W254" s="61"/>
    </row>
    <row r="255" spans="1:23" s="62" customFormat="1" ht="35.1" customHeight="1">
      <c r="A255" s="63"/>
      <c r="B255" s="163"/>
      <c r="C255" s="163"/>
      <c r="D255" s="163"/>
      <c r="E255" s="64"/>
      <c r="F255" s="65"/>
      <c r="G255" s="65"/>
      <c r="H255" s="65"/>
      <c r="I255" s="65"/>
      <c r="J255" s="65"/>
      <c r="K255" s="65"/>
      <c r="L255" s="44"/>
      <c r="M255" s="44"/>
      <c r="N255" s="44"/>
      <c r="O255" s="17"/>
      <c r="P255" s="60"/>
      <c r="Q255" s="242"/>
      <c r="R255" s="242" t="str">
        <f t="shared" si="6"/>
        <v/>
      </c>
      <c r="S255" s="243" t="str">
        <f t="shared" si="7"/>
        <v>-</v>
      </c>
      <c r="T255" s="61"/>
      <c r="U255" s="61"/>
      <c r="V255" s="61"/>
      <c r="W255" s="61"/>
    </row>
    <row r="256" spans="1:23" s="62" customFormat="1" ht="35.1" customHeight="1">
      <c r="A256" s="63"/>
      <c r="B256" s="163"/>
      <c r="C256" s="163"/>
      <c r="D256" s="163"/>
      <c r="E256" s="64"/>
      <c r="F256" s="65"/>
      <c r="G256" s="65"/>
      <c r="H256" s="65"/>
      <c r="I256" s="65"/>
      <c r="J256" s="65"/>
      <c r="K256" s="65"/>
      <c r="L256" s="44"/>
      <c r="M256" s="44"/>
      <c r="N256" s="44"/>
      <c r="O256" s="17"/>
      <c r="P256" s="60"/>
      <c r="Q256" s="242"/>
      <c r="R256" s="242" t="str">
        <f t="shared" si="6"/>
        <v/>
      </c>
      <c r="S256" s="243" t="str">
        <f t="shared" si="7"/>
        <v>-</v>
      </c>
      <c r="T256" s="61"/>
      <c r="U256" s="61"/>
      <c r="V256" s="61"/>
      <c r="W256" s="61"/>
    </row>
    <row r="257" spans="1:79" s="62" customFormat="1" ht="35.1" customHeight="1">
      <c r="A257" s="63"/>
      <c r="B257" s="163"/>
      <c r="C257" s="163"/>
      <c r="D257" s="163"/>
      <c r="E257" s="64"/>
      <c r="F257" s="65"/>
      <c r="G257" s="65"/>
      <c r="H257" s="65"/>
      <c r="I257" s="65"/>
      <c r="J257" s="65"/>
      <c r="K257" s="65"/>
      <c r="L257" s="44"/>
      <c r="M257" s="44"/>
      <c r="N257" s="44"/>
      <c r="O257" s="17"/>
      <c r="P257" s="60"/>
      <c r="Q257" s="242"/>
      <c r="R257" s="242" t="str">
        <f t="shared" si="6"/>
        <v/>
      </c>
      <c r="S257" s="243" t="str">
        <f t="shared" si="7"/>
        <v>-</v>
      </c>
      <c r="T257" s="61"/>
      <c r="U257" s="61"/>
      <c r="V257" s="61"/>
      <c r="W257" s="61"/>
    </row>
    <row r="258" spans="1:79" s="62" customFormat="1" ht="35.1" customHeight="1">
      <c r="A258" s="63"/>
      <c r="B258" s="163"/>
      <c r="C258" s="163"/>
      <c r="D258" s="163"/>
      <c r="E258" s="64"/>
      <c r="F258" s="65"/>
      <c r="G258" s="65"/>
      <c r="H258" s="65"/>
      <c r="I258" s="65"/>
      <c r="J258" s="65"/>
      <c r="K258" s="65"/>
      <c r="L258" s="44"/>
      <c r="M258" s="44"/>
      <c r="N258" s="44"/>
      <c r="O258" s="17"/>
      <c r="P258" s="60"/>
      <c r="Q258" s="242"/>
      <c r="R258" s="242" t="str">
        <f t="shared" si="6"/>
        <v/>
      </c>
      <c r="S258" s="243" t="str">
        <f t="shared" si="7"/>
        <v>-</v>
      </c>
      <c r="T258" s="61"/>
      <c r="U258" s="61"/>
      <c r="V258" s="61"/>
      <c r="W258" s="61"/>
    </row>
    <row r="259" spans="1:79" s="73" customFormat="1" ht="35.1" customHeight="1">
      <c r="A259" s="66" t="s">
        <v>41</v>
      </c>
      <c r="B259" s="67"/>
      <c r="C259" s="67"/>
      <c r="D259" s="67"/>
      <c r="E259" s="67"/>
      <c r="F259" s="68"/>
      <c r="G259" s="69"/>
      <c r="H259" s="69"/>
      <c r="I259" s="69">
        <f>SUM(I239:I258)</f>
        <v>0</v>
      </c>
      <c r="J259" s="70"/>
      <c r="K259" s="70"/>
      <c r="L259" s="70"/>
      <c r="M259" s="70"/>
      <c r="N259" s="70"/>
      <c r="O259" s="71"/>
      <c r="P259" s="60"/>
      <c r="Q259" s="242"/>
      <c r="R259" s="242" t="str">
        <f t="shared" si="6"/>
        <v/>
      </c>
      <c r="S259" s="243" t="str">
        <f t="shared" si="7"/>
        <v>-</v>
      </c>
      <c r="T259" s="61"/>
      <c r="U259" s="61"/>
      <c r="V259" s="61"/>
      <c r="W259" s="61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2"/>
      <c r="BK259" s="72"/>
      <c r="BL259" s="72"/>
      <c r="BM259" s="72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2"/>
      <c r="BY259" s="72"/>
      <c r="BZ259" s="72"/>
      <c r="CA259" s="72"/>
    </row>
    <row r="260" spans="1:79">
      <c r="Q260" s="242"/>
      <c r="R260" s="242" t="str">
        <f t="shared" si="6"/>
        <v/>
      </c>
      <c r="S260" s="243" t="str">
        <f t="shared" si="7"/>
        <v>-</v>
      </c>
    </row>
    <row r="261" spans="1:79">
      <c r="Q261" s="242"/>
      <c r="R261" s="242" t="str">
        <f t="shared" si="6"/>
        <v/>
      </c>
      <c r="S261" s="243" t="str">
        <f t="shared" si="7"/>
        <v>-</v>
      </c>
    </row>
    <row r="262" spans="1:79">
      <c r="Q262" s="242"/>
      <c r="R262" s="242" t="str">
        <f t="shared" si="6"/>
        <v/>
      </c>
      <c r="S262" s="243" t="str">
        <f t="shared" si="7"/>
        <v>-</v>
      </c>
    </row>
    <row r="263" spans="1:79">
      <c r="Q263" s="242"/>
      <c r="R263" s="242" t="str">
        <f>CONCATENATE(F263,J263)</f>
        <v/>
      </c>
      <c r="S263" s="243" t="str">
        <f>IF(G263&gt;=I263,"-","err")</f>
        <v>-</v>
      </c>
    </row>
    <row r="264" spans="1:79">
      <c r="Q264" s="242"/>
      <c r="R264" s="242" t="str">
        <f>CONCATENATE(F264,J264)</f>
        <v/>
      </c>
      <c r="S264" s="243" t="str">
        <f>IF(G264&gt;=I264,"-","err")</f>
        <v>-</v>
      </c>
    </row>
    <row r="265" spans="1:79">
      <c r="Q265" s="242"/>
      <c r="R265" s="242" t="str">
        <f>CONCATENATE(F265,J265)</f>
        <v/>
      </c>
      <c r="S265" s="243" t="str">
        <f>IF(G265&gt;=I265,"-","err")</f>
        <v>-</v>
      </c>
    </row>
    <row r="266" spans="1:79">
      <c r="Q266" s="242"/>
      <c r="R266" s="242" t="str">
        <f>CONCATENATE(F266,J266)</f>
        <v/>
      </c>
      <c r="S266" s="243" t="str">
        <f>IF(G266&gt;=I266,"-","err")</f>
        <v>-</v>
      </c>
    </row>
    <row r="267" spans="1:79">
      <c r="Q267" s="242"/>
      <c r="R267" s="242" t="str">
        <f>CONCATENATE(F267,J267)</f>
        <v/>
      </c>
      <c r="S267" s="243" t="str">
        <f>IF(G267&gt;=I267,"-","err")</f>
        <v>-</v>
      </c>
    </row>
  </sheetData>
  <autoFilter ref="B4:O26">
    <filterColumn colId="6" showButton="0"/>
    <filterColumn colId="8" showButton="0"/>
    <filterColumn colId="10" showButton="0"/>
    <filterColumn colId="11" showButton="0"/>
  </autoFilter>
  <mergeCells count="10">
    <mergeCell ref="A1:O1"/>
    <mergeCell ref="B4:B5"/>
    <mergeCell ref="D4:D5"/>
    <mergeCell ref="E4:E5"/>
    <mergeCell ref="F4:F5"/>
    <mergeCell ref="G4:G5"/>
    <mergeCell ref="H4:I5"/>
    <mergeCell ref="J4:K4"/>
    <mergeCell ref="L4:N4"/>
    <mergeCell ref="O4:O5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orientation="landscape" horizontalDpi="4294967292" r:id="rId1"/>
  <headerFooter alignWithMargins="0"/>
  <rowBreaks count="1" manualBreakCount="1">
    <brk id="31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2"/>
  <sheetViews>
    <sheetView showGridLines="0" showZeros="0" view="pageBreakPreview" workbookViewId="0">
      <selection activeCell="B9" sqref="B9:Y9"/>
    </sheetView>
  </sheetViews>
  <sheetFormatPr defaultRowHeight="12"/>
  <cols>
    <col min="1" max="1" width="10.77734375" style="14" customWidth="1"/>
    <col min="2" max="2" width="4.77734375" style="15" customWidth="1"/>
    <col min="3" max="3" width="1.33203125" style="15" customWidth="1"/>
    <col min="4" max="4" width="6.77734375" style="15" customWidth="1"/>
    <col min="5" max="5" width="4.77734375" style="15" customWidth="1"/>
    <col min="6" max="6" width="1.33203125" style="15" customWidth="1"/>
    <col min="7" max="7" width="6.77734375" style="15" customWidth="1"/>
    <col min="8" max="8" width="4.77734375" style="15" customWidth="1"/>
    <col min="9" max="9" width="1.33203125" style="15" customWidth="1"/>
    <col min="10" max="10" width="6.77734375" style="15" customWidth="1"/>
    <col min="11" max="11" width="4.77734375" style="15" customWidth="1"/>
    <col min="12" max="12" width="1.33203125" style="15" customWidth="1"/>
    <col min="13" max="13" width="6.77734375" style="15" customWidth="1"/>
    <col min="14" max="14" width="4.77734375" style="15" customWidth="1"/>
    <col min="15" max="15" width="1.33203125" style="15" customWidth="1"/>
    <col min="16" max="16" width="6.77734375" style="15" customWidth="1"/>
    <col min="17" max="17" width="4.77734375" style="15" customWidth="1"/>
    <col min="18" max="18" width="1.33203125" style="15" customWidth="1"/>
    <col min="19" max="19" width="6.77734375" style="15" customWidth="1"/>
    <col min="20" max="20" width="4.77734375" style="15" customWidth="1"/>
    <col min="21" max="21" width="1.33203125" style="15" customWidth="1"/>
    <col min="22" max="22" width="6.77734375" style="15" customWidth="1"/>
    <col min="23" max="23" width="4.77734375" style="15" customWidth="1"/>
    <col min="24" max="24" width="1.33203125" style="15" customWidth="1"/>
    <col min="25" max="26" width="6.77734375" style="15" customWidth="1"/>
    <col min="27" max="32" width="12.21875" style="15" hidden="1" customWidth="1"/>
    <col min="33" max="34" width="8.33203125" style="15" customWidth="1"/>
    <col min="35" max="16384" width="8.88671875" style="15"/>
  </cols>
  <sheetData>
    <row r="1" spans="1:34" s="3" customFormat="1" ht="24.95" customHeight="1">
      <c r="A1" s="35" t="s">
        <v>48</v>
      </c>
      <c r="B1" s="1"/>
      <c r="C1" s="1"/>
      <c r="D1" s="2"/>
      <c r="E1" s="1"/>
      <c r="F1" s="1"/>
      <c r="G1" s="2"/>
      <c r="H1" s="2"/>
      <c r="I1" s="1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4" s="9" customFormat="1" ht="20.100000000000001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20"/>
      <c r="U2" s="6"/>
      <c r="V2" s="434" t="str">
        <f>'3구간'!L2</f>
        <v>3공구</v>
      </c>
      <c r="W2" s="434"/>
      <c r="X2" s="434"/>
      <c r="Y2" s="434"/>
      <c r="Z2" s="434"/>
    </row>
    <row r="3" spans="1:34" s="11" customFormat="1" ht="20.100000000000001" customHeight="1">
      <c r="A3" s="424" t="s">
        <v>2</v>
      </c>
      <c r="B3" s="431" t="s">
        <v>55</v>
      </c>
      <c r="C3" s="432"/>
      <c r="D3" s="432"/>
      <c r="E3" s="432"/>
      <c r="F3" s="432"/>
      <c r="G3" s="433"/>
      <c r="H3" s="431" t="s">
        <v>56</v>
      </c>
      <c r="I3" s="432"/>
      <c r="J3" s="432"/>
      <c r="K3" s="432"/>
      <c r="L3" s="432"/>
      <c r="M3" s="433"/>
      <c r="N3" s="431" t="s">
        <v>57</v>
      </c>
      <c r="O3" s="432"/>
      <c r="P3" s="432"/>
      <c r="Q3" s="432"/>
      <c r="R3" s="432"/>
      <c r="S3" s="433"/>
      <c r="T3" s="431" t="s">
        <v>58</v>
      </c>
      <c r="U3" s="432"/>
      <c r="V3" s="432"/>
      <c r="W3" s="432"/>
      <c r="X3" s="432"/>
      <c r="Y3" s="433"/>
      <c r="Z3" s="428" t="s">
        <v>27</v>
      </c>
      <c r="AA3" s="10"/>
      <c r="AE3" s="10"/>
      <c r="AF3" s="10"/>
      <c r="AG3" s="10"/>
      <c r="AH3" s="10"/>
    </row>
    <row r="4" spans="1:34" s="11" customFormat="1" ht="20.100000000000001" customHeight="1">
      <c r="A4" s="435"/>
      <c r="B4" s="431" t="s">
        <v>46</v>
      </c>
      <c r="C4" s="432"/>
      <c r="D4" s="433"/>
      <c r="E4" s="431" t="s">
        <v>44</v>
      </c>
      <c r="F4" s="432"/>
      <c r="G4" s="433"/>
      <c r="H4" s="431" t="s">
        <v>46</v>
      </c>
      <c r="I4" s="432"/>
      <c r="J4" s="433"/>
      <c r="K4" s="431" t="s">
        <v>44</v>
      </c>
      <c r="L4" s="432"/>
      <c r="M4" s="433"/>
      <c r="N4" s="431" t="s">
        <v>46</v>
      </c>
      <c r="O4" s="432"/>
      <c r="P4" s="433"/>
      <c r="Q4" s="431" t="s">
        <v>44</v>
      </c>
      <c r="R4" s="432"/>
      <c r="S4" s="433"/>
      <c r="T4" s="431" t="s">
        <v>66</v>
      </c>
      <c r="U4" s="432"/>
      <c r="V4" s="433"/>
      <c r="W4" s="431" t="s">
        <v>67</v>
      </c>
      <c r="X4" s="432"/>
      <c r="Y4" s="433"/>
      <c r="Z4" s="436"/>
      <c r="AA4" s="10"/>
      <c r="AE4" s="10"/>
      <c r="AF4" s="10"/>
      <c r="AG4" s="10"/>
      <c r="AH4" s="10"/>
    </row>
    <row r="5" spans="1:34" s="11" customFormat="1" ht="20.100000000000001" customHeight="1">
      <c r="A5" s="426"/>
      <c r="B5" s="38" t="s">
        <v>3</v>
      </c>
      <c r="C5" s="36" t="s">
        <v>4</v>
      </c>
      <c r="D5" s="37" t="s">
        <v>45</v>
      </c>
      <c r="E5" s="38" t="s">
        <v>3</v>
      </c>
      <c r="F5" s="36" t="s">
        <v>4</v>
      </c>
      <c r="G5" s="37" t="s">
        <v>45</v>
      </c>
      <c r="H5" s="38" t="s">
        <v>3</v>
      </c>
      <c r="I5" s="36" t="s">
        <v>4</v>
      </c>
      <c r="J5" s="37" t="s">
        <v>45</v>
      </c>
      <c r="K5" s="38" t="s">
        <v>3</v>
      </c>
      <c r="L5" s="36" t="s">
        <v>4</v>
      </c>
      <c r="M5" s="37" t="s">
        <v>45</v>
      </c>
      <c r="N5" s="38" t="s">
        <v>3</v>
      </c>
      <c r="O5" s="36" t="s">
        <v>4</v>
      </c>
      <c r="P5" s="37" t="s">
        <v>45</v>
      </c>
      <c r="Q5" s="38" t="s">
        <v>3</v>
      </c>
      <c r="R5" s="36" t="s">
        <v>4</v>
      </c>
      <c r="S5" s="37" t="s">
        <v>45</v>
      </c>
      <c r="T5" s="38" t="s">
        <v>3</v>
      </c>
      <c r="U5" s="36" t="s">
        <v>4</v>
      </c>
      <c r="V5" s="37" t="s">
        <v>45</v>
      </c>
      <c r="W5" s="38" t="s">
        <v>3</v>
      </c>
      <c r="X5" s="36" t="s">
        <v>4</v>
      </c>
      <c r="Y5" s="37" t="s">
        <v>45</v>
      </c>
      <c r="Z5" s="430"/>
      <c r="AB5" s="10"/>
      <c r="AC5" s="12" t="s">
        <v>28</v>
      </c>
      <c r="AD5" s="12" t="s">
        <v>29</v>
      </c>
      <c r="AE5" s="12" t="s">
        <v>30</v>
      </c>
      <c r="AF5" s="12" t="s">
        <v>31</v>
      </c>
      <c r="AG5" s="10"/>
      <c r="AH5" s="10"/>
    </row>
    <row r="6" spans="1:34" s="11" customFormat="1" ht="17.100000000000001" customHeight="1">
      <c r="A6" s="125" t="s">
        <v>1</v>
      </c>
      <c r="B6" s="126">
        <f>SUM(B7:B31)</f>
        <v>0</v>
      </c>
      <c r="C6" s="127" t="s">
        <v>4</v>
      </c>
      <c r="D6" s="128">
        <f>SUM(D7:D31)</f>
        <v>0</v>
      </c>
      <c r="E6" s="126">
        <f>SUM(E7:E31)</f>
        <v>0</v>
      </c>
      <c r="F6" s="127" t="s">
        <v>4</v>
      </c>
      <c r="G6" s="128">
        <f>SUM(G7:G31)</f>
        <v>0</v>
      </c>
      <c r="H6" s="126">
        <f>SUM(H7:H31)</f>
        <v>0</v>
      </c>
      <c r="I6" s="127" t="s">
        <v>4</v>
      </c>
      <c r="J6" s="128">
        <f>SUM(J7:J31)</f>
        <v>0</v>
      </c>
      <c r="K6" s="126">
        <f>SUM(K7:K31)</f>
        <v>0</v>
      </c>
      <c r="L6" s="127" t="s">
        <v>4</v>
      </c>
      <c r="M6" s="128">
        <f>SUM(M7:M31)</f>
        <v>0</v>
      </c>
      <c r="N6" s="126">
        <f>SUM(N7:N31)</f>
        <v>0</v>
      </c>
      <c r="O6" s="127" t="s">
        <v>4</v>
      </c>
      <c r="P6" s="128">
        <f>SUM(P7:P31)</f>
        <v>0</v>
      </c>
      <c r="Q6" s="126">
        <f>SUM(Q7:Q31)</f>
        <v>0</v>
      </c>
      <c r="R6" s="127" t="s">
        <v>4</v>
      </c>
      <c r="S6" s="128">
        <f>SUM(S7:S31)</f>
        <v>0</v>
      </c>
      <c r="T6" s="126">
        <f>SUM(T7:T31)</f>
        <v>0</v>
      </c>
      <c r="U6" s="127" t="s">
        <v>4</v>
      </c>
      <c r="V6" s="128">
        <f>SUM(V7:V31)</f>
        <v>0</v>
      </c>
      <c r="W6" s="126">
        <f>SUM(W7:W31)</f>
        <v>0</v>
      </c>
      <c r="X6" s="127" t="s">
        <v>4</v>
      </c>
      <c r="Y6" s="128">
        <f>SUM(Y7:Y31)</f>
        <v>0</v>
      </c>
      <c r="Z6" s="105"/>
      <c r="AA6" s="10" t="str">
        <f>IF(EXACT(AC6,AF6),"맞음","틀림")</f>
        <v>맞음</v>
      </c>
      <c r="AB6" s="10" t="s">
        <v>3</v>
      </c>
      <c r="AC6" s="13">
        <f>SUM(B7:B31)</f>
        <v>0</v>
      </c>
      <c r="AD6" s="13">
        <f>SUM(H7:H31)</f>
        <v>0</v>
      </c>
      <c r="AE6" s="13">
        <f>SUM(T7:T31)</f>
        <v>0</v>
      </c>
      <c r="AF6" s="13">
        <f>T6+H6</f>
        <v>0</v>
      </c>
      <c r="AG6" s="10"/>
      <c r="AH6" s="10"/>
    </row>
    <row r="7" spans="1:34" s="11" customFormat="1" ht="17.100000000000001" customHeight="1">
      <c r="A7" s="125" t="s">
        <v>5</v>
      </c>
      <c r="B7" s="126">
        <f>COUNTIFS('3구간'!$C$6:$C$502,"전",'3구간'!$P$6:$P$502,"2")</f>
        <v>0</v>
      </c>
      <c r="C7" s="127" t="s">
        <v>4</v>
      </c>
      <c r="D7" s="128">
        <f>SUMIFS('3구간'!$E$6:$E$502,'3구간'!$C$6:$C$502,"전",'3구간'!$P$6:$P$502,"2")</f>
        <v>0</v>
      </c>
      <c r="E7" s="126">
        <f>COUNTIF('3구간'!$C$6:$C$502,"전")</f>
        <v>0</v>
      </c>
      <c r="F7" s="127" t="s">
        <v>4</v>
      </c>
      <c r="G7" s="128">
        <f>SUMIF('3구간'!$C$6:$C$502,"전",'3구간'!$F$6:$F$502)</f>
        <v>0</v>
      </c>
      <c r="H7" s="126">
        <f>COUNTIFS('3구간'!$N$6:$N$502,"전국",'3구간'!$P$6:$P$502,"2")</f>
        <v>0</v>
      </c>
      <c r="I7" s="127" t="s">
        <v>4</v>
      </c>
      <c r="J7" s="128">
        <f>SUMIFS('3구간'!$E$6:$E$502,'3구간'!$N$6:$N$502,"전국",'3구간'!$P$6:$P$502,"2")</f>
        <v>0</v>
      </c>
      <c r="K7" s="126">
        <f>COUNTIF('3구간'!$N$6:$N$502,"전국")</f>
        <v>0</v>
      </c>
      <c r="L7" s="127" t="s">
        <v>4</v>
      </c>
      <c r="M7" s="128">
        <f>SUMIF('3구간'!$N$6:$N$502,"전국",'3구간'!$F$6:$F$502)</f>
        <v>0</v>
      </c>
      <c r="N7" s="126">
        <f>COUNTIFS('3구간'!$N$6:$N$502,"전공",'3구간'!$P$6:$P$502,"2")</f>
        <v>0</v>
      </c>
      <c r="O7" s="127" t="s">
        <v>4</v>
      </c>
      <c r="P7" s="128">
        <f>SUMIFS('3구간'!$E$6:$E$502,'3구간'!$N$6:$N$502,"전공",'3구간'!$P$6:$P$502,"2")</f>
        <v>0</v>
      </c>
      <c r="Q7" s="126">
        <f>COUNTIF('3구간'!$N$6:$N$502,"전공")</f>
        <v>0</v>
      </c>
      <c r="R7" s="127" t="s">
        <v>4</v>
      </c>
      <c r="S7" s="128">
        <f>SUMIF('3구간'!$N$6:$N$502,"전공",'3구간'!$F$6:$F$502)</f>
        <v>0</v>
      </c>
      <c r="T7" s="126">
        <f t="shared" ref="T7:T31" si="0">B7-H7-N7</f>
        <v>0</v>
      </c>
      <c r="U7" s="127" t="s">
        <v>4</v>
      </c>
      <c r="V7" s="128">
        <f t="shared" ref="V7:W31" si="1">D7-J7-P7</f>
        <v>0</v>
      </c>
      <c r="W7" s="126">
        <f t="shared" si="1"/>
        <v>0</v>
      </c>
      <c r="X7" s="127" t="s">
        <v>4</v>
      </c>
      <c r="Y7" s="128">
        <f t="shared" ref="Y7:Y31" si="2">G7-M7-S7</f>
        <v>0</v>
      </c>
      <c r="Z7" s="105"/>
      <c r="AA7" s="10" t="str">
        <f>IF(EXACT(AC7,AF7),"맞음","틀림")</f>
        <v>맞음</v>
      </c>
      <c r="AB7" s="10" t="s">
        <v>32</v>
      </c>
      <c r="AC7" s="13">
        <f>SUM(D7:D31)</f>
        <v>0</v>
      </c>
      <c r="AD7" s="13">
        <f>SUM(J7:J31)</f>
        <v>0</v>
      </c>
      <c r="AE7" s="13">
        <f>SUM(V7:V31)</f>
        <v>0</v>
      </c>
      <c r="AF7" s="13">
        <f>J6+V6</f>
        <v>0</v>
      </c>
      <c r="AG7" s="10"/>
      <c r="AH7" s="10"/>
    </row>
    <row r="8" spans="1:34" s="11" customFormat="1" ht="17.100000000000001" customHeight="1">
      <c r="A8" s="125" t="s">
        <v>6</v>
      </c>
      <c r="B8" s="126">
        <f>COUNTIFS('3구간'!$C$6:$C$502,"답",'3구간'!$P$6:$P$502,"2")</f>
        <v>0</v>
      </c>
      <c r="C8" s="127" t="s">
        <v>4</v>
      </c>
      <c r="D8" s="128">
        <f>SUMIFS('3구간'!$E$6:$E$502,'3구간'!$C$6:$C$502,"답",'3구간'!$P$6:$P$502,"2")</f>
        <v>0</v>
      </c>
      <c r="E8" s="126">
        <f>COUNTIF('3구간'!$C$6:$C$502,"답")</f>
        <v>0</v>
      </c>
      <c r="F8" s="127" t="s">
        <v>4</v>
      </c>
      <c r="G8" s="128">
        <f>SUMIF('3구간'!$C$6:$C$502,"답",'3구간'!$F$6:$F$502)</f>
        <v>0</v>
      </c>
      <c r="H8" s="126">
        <f>COUNTIFS('3구간'!$N$6:$N$502,"답국",'3구간'!$P$6:$P$502,"2")</f>
        <v>0</v>
      </c>
      <c r="I8" s="127" t="s">
        <v>4</v>
      </c>
      <c r="J8" s="128">
        <f>SUMIFS('3구간'!$E$6:$E$502,'3구간'!$N$6:$N$502,"답국",'3구간'!$P$6:$P$502,"2")</f>
        <v>0</v>
      </c>
      <c r="K8" s="126">
        <f>COUNTIF('3구간'!$N$6:$N$502,"답국")</f>
        <v>0</v>
      </c>
      <c r="L8" s="127" t="s">
        <v>4</v>
      </c>
      <c r="M8" s="128">
        <f>SUMIF('3구간'!$N$6:$N$502,"답국",'3구간'!$F$6:$F$502)</f>
        <v>0</v>
      </c>
      <c r="N8" s="126">
        <f>COUNTIFS('3구간'!$N$6:$N$502,"답공",'3구간'!$P$6:$P$502,"2")</f>
        <v>0</v>
      </c>
      <c r="O8" s="127" t="s">
        <v>4</v>
      </c>
      <c r="P8" s="128">
        <f>SUMIFS('3구간'!$E$6:$E$502,'3구간'!$N$6:$N$502,"답공",'3구간'!$P$6:$P$502,"2")</f>
        <v>0</v>
      </c>
      <c r="Q8" s="126">
        <f>COUNTIF('3구간'!$N$6:$N$502,"답공")</f>
        <v>0</v>
      </c>
      <c r="R8" s="127" t="s">
        <v>4</v>
      </c>
      <c r="S8" s="128">
        <f>SUMIF('3구간'!$N$6:$N$502,"답공",'3구간'!$F$6:$F$502)</f>
        <v>0</v>
      </c>
      <c r="T8" s="126">
        <f t="shared" si="0"/>
        <v>0</v>
      </c>
      <c r="U8" s="127" t="s">
        <v>4</v>
      </c>
      <c r="V8" s="128">
        <f t="shared" si="1"/>
        <v>0</v>
      </c>
      <c r="W8" s="126">
        <f t="shared" si="1"/>
        <v>0</v>
      </c>
      <c r="X8" s="127" t="s">
        <v>4</v>
      </c>
      <c r="Y8" s="128">
        <f t="shared" si="2"/>
        <v>0</v>
      </c>
      <c r="Z8" s="105"/>
      <c r="AC8" s="10"/>
      <c r="AE8" s="10"/>
      <c r="AG8" s="10"/>
      <c r="AH8" s="10"/>
    </row>
    <row r="9" spans="1:34" s="11" customFormat="1" ht="17.100000000000001" customHeight="1">
      <c r="A9" s="129" t="s">
        <v>7</v>
      </c>
      <c r="B9" s="126">
        <f>COUNTIFS('3구간'!$C$6:$C$502,"임",'3구간'!$P$6:$P$502,"2")</f>
        <v>0</v>
      </c>
      <c r="C9" s="127" t="s">
        <v>4</v>
      </c>
      <c r="D9" s="128">
        <f>SUMIFS('3구간'!$E$6:$E$502,'3구간'!$C$6:$C$502,"임",'3구간'!$P$6:$P$502,"2")</f>
        <v>0</v>
      </c>
      <c r="E9" s="126">
        <f>COUNTIF('3구간'!$C$6:$C$502,"임")</f>
        <v>0</v>
      </c>
      <c r="F9" s="127" t="s">
        <v>4</v>
      </c>
      <c r="G9" s="128">
        <f>SUMIF('3구간'!$C$6:$C$502,"임",'3구간'!$F$6:$F$502)</f>
        <v>0</v>
      </c>
      <c r="H9" s="126">
        <f>COUNTIFS('3구간'!$N$6:$N$502,"임국",'3구간'!$P$6:$P$502,"2")</f>
        <v>0</v>
      </c>
      <c r="I9" s="127" t="s">
        <v>4</v>
      </c>
      <c r="J9" s="128">
        <f>SUMIFS('3구간'!$E$6:$E$502,'3구간'!$N$6:$N$502,"임국",'3구간'!$P$6:$P$502,"2")</f>
        <v>0</v>
      </c>
      <c r="K9" s="126">
        <f>COUNTIF('3구간'!$N$6:$N$502,"임국")</f>
        <v>0</v>
      </c>
      <c r="L9" s="127" t="s">
        <v>4</v>
      </c>
      <c r="M9" s="128">
        <f>SUMIF('3구간'!$N$6:$N$502,"임국",'3구간'!$F$6:$F$502)</f>
        <v>0</v>
      </c>
      <c r="N9" s="126">
        <f>COUNTIFS('3구간'!$N$6:$N$502,"임공",'3구간'!$P$6:$P$502,"2")</f>
        <v>0</v>
      </c>
      <c r="O9" s="127" t="s">
        <v>4</v>
      </c>
      <c r="P9" s="128">
        <f>SUMIFS('3구간'!$E$6:$E$502,'3구간'!$N$6:$N$502,"임공",'3구간'!$P$6:$P$502,"2")</f>
        <v>0</v>
      </c>
      <c r="Q9" s="126">
        <f>COUNTIF('3구간'!$N$6:$N$502,"임공")</f>
        <v>0</v>
      </c>
      <c r="R9" s="127" t="s">
        <v>4</v>
      </c>
      <c r="S9" s="128">
        <f>SUMIF('3구간'!$N$6:$N$502,"임공",'3구간'!$F$6:$F$502)</f>
        <v>0</v>
      </c>
      <c r="T9" s="126">
        <f t="shared" si="0"/>
        <v>0</v>
      </c>
      <c r="U9" s="127" t="s">
        <v>4</v>
      </c>
      <c r="V9" s="128">
        <f t="shared" si="1"/>
        <v>0</v>
      </c>
      <c r="W9" s="126">
        <f t="shared" si="1"/>
        <v>0</v>
      </c>
      <c r="X9" s="127" t="s">
        <v>4</v>
      </c>
      <c r="Y9" s="128">
        <f t="shared" si="2"/>
        <v>0</v>
      </c>
      <c r="Z9" s="105"/>
      <c r="AC9" s="10"/>
      <c r="AE9" s="10"/>
      <c r="AG9" s="10"/>
      <c r="AH9" s="10"/>
    </row>
    <row r="10" spans="1:34" s="11" customFormat="1" ht="17.100000000000001" customHeight="1">
      <c r="A10" s="125" t="s">
        <v>8</v>
      </c>
      <c r="B10" s="126">
        <f>COUNTIFS('3구간'!$C$6:$C$502,"대",'3구간'!$P$6:$P$502,"2")</f>
        <v>0</v>
      </c>
      <c r="C10" s="127" t="s">
        <v>4</v>
      </c>
      <c r="D10" s="128">
        <f>SUMIFS('3구간'!$E$6:$E$502,'3구간'!$C$6:$C$502,"대",'3구간'!$P$6:$P$502,"2")</f>
        <v>0</v>
      </c>
      <c r="E10" s="126">
        <f>COUNTIF('3구간'!$C$6:$C$502,"대")</f>
        <v>0</v>
      </c>
      <c r="F10" s="127" t="s">
        <v>4</v>
      </c>
      <c r="G10" s="128">
        <f>SUMIF('3구간'!$C$6:$C$502,"대",'3구간'!$F$6:$F$502)</f>
        <v>0</v>
      </c>
      <c r="H10" s="126">
        <f>COUNTIFS('3구간'!$N$6:$N$502,"대국",'3구간'!$P$6:$P$502,"2")</f>
        <v>0</v>
      </c>
      <c r="I10" s="127" t="s">
        <v>4</v>
      </c>
      <c r="J10" s="128">
        <f>SUMIFS('3구간'!$E$6:$E$502,'3구간'!$N$6:$N$502,"대국",'3구간'!$P$6:$P$502,"2")</f>
        <v>0</v>
      </c>
      <c r="K10" s="126">
        <f>COUNTIF('3구간'!$N$6:$N$502,"대국")</f>
        <v>0</v>
      </c>
      <c r="L10" s="127" t="s">
        <v>4</v>
      </c>
      <c r="M10" s="128">
        <f>SUMIF('3구간'!$N$6:$N$502,"대국",'3구간'!$F$6:$F$502)</f>
        <v>0</v>
      </c>
      <c r="N10" s="126">
        <f>COUNTIFS('3구간'!$N$6:$N$502,"대공",'3구간'!$P$6:$P$502,"2")</f>
        <v>0</v>
      </c>
      <c r="O10" s="127" t="s">
        <v>4</v>
      </c>
      <c r="P10" s="128">
        <f>SUMIFS('3구간'!$E$6:$E$502,'3구간'!$N$6:$N$502,"대공",'3구간'!$P$6:$P$502,"2")</f>
        <v>0</v>
      </c>
      <c r="Q10" s="126">
        <f>COUNTIF('3구간'!$N$6:$N$502,"대공")</f>
        <v>0</v>
      </c>
      <c r="R10" s="127" t="s">
        <v>4</v>
      </c>
      <c r="S10" s="128">
        <f>SUMIF('3구간'!$N$6:$N$502,"대공",'3구간'!$F$6:$F$502)</f>
        <v>0</v>
      </c>
      <c r="T10" s="126">
        <f t="shared" si="0"/>
        <v>0</v>
      </c>
      <c r="U10" s="127" t="s">
        <v>4</v>
      </c>
      <c r="V10" s="128">
        <f t="shared" si="1"/>
        <v>0</v>
      </c>
      <c r="W10" s="126">
        <f t="shared" si="1"/>
        <v>0</v>
      </c>
      <c r="X10" s="127" t="s">
        <v>4</v>
      </c>
      <c r="Y10" s="128">
        <f t="shared" si="2"/>
        <v>0</v>
      </c>
      <c r="Z10" s="105"/>
      <c r="AA10" s="10"/>
      <c r="AB10" s="10"/>
      <c r="AC10" s="10"/>
      <c r="AD10" s="10"/>
      <c r="AE10" s="10"/>
      <c r="AF10" s="10"/>
      <c r="AG10" s="10"/>
      <c r="AH10" s="10"/>
    </row>
    <row r="11" spans="1:34" s="11" customFormat="1" ht="17.100000000000001" customHeight="1">
      <c r="A11" s="125" t="s">
        <v>9</v>
      </c>
      <c r="B11" s="126">
        <f>COUNTIFS('3구간'!$C$6:$C$502,"도",'3구간'!$P$6:$P$502,"2")</f>
        <v>0</v>
      </c>
      <c r="C11" s="127" t="s">
        <v>4</v>
      </c>
      <c r="D11" s="128">
        <f>SUMIFS('3구간'!$E$6:$E$502,'3구간'!$C$6:$C$502,"도",'3구간'!$P$6:$P$502,"2")</f>
        <v>0</v>
      </c>
      <c r="E11" s="126">
        <f>COUNTIF('3구간'!$C$6:$C$502,"도")</f>
        <v>0</v>
      </c>
      <c r="F11" s="127" t="s">
        <v>4</v>
      </c>
      <c r="G11" s="128">
        <f>SUMIF('3구간'!$C$6:$C$502,"도",'3구간'!$F$6:$F$502)</f>
        <v>0</v>
      </c>
      <c r="H11" s="126">
        <f>COUNTIFS('3구간'!$N$6:$N$502,"도국",'3구간'!$P$6:$P$502,"2")</f>
        <v>0</v>
      </c>
      <c r="I11" s="127" t="s">
        <v>4</v>
      </c>
      <c r="J11" s="128">
        <f>SUMIFS('3구간'!$E$6:$E$502,'3구간'!$N$6:$N$502,"도국",'3구간'!$P$6:$P$502,"2")</f>
        <v>0</v>
      </c>
      <c r="K11" s="126">
        <f>COUNTIF('3구간'!$N$6:$N$502,"도국")</f>
        <v>0</v>
      </c>
      <c r="L11" s="127" t="s">
        <v>4</v>
      </c>
      <c r="M11" s="128">
        <f>SUMIF('3구간'!$N$6:$N$502,"도국",'3구간'!$F$6:$F$502)</f>
        <v>0</v>
      </c>
      <c r="N11" s="126">
        <f>COUNTIFS('3구간'!$N$6:$N$502,"도공",'3구간'!$P$6:$P$502,"2")</f>
        <v>0</v>
      </c>
      <c r="O11" s="127" t="s">
        <v>4</v>
      </c>
      <c r="P11" s="128">
        <f>SUMIFS('3구간'!$E$6:$E$502,'3구간'!$N$6:$N$502,"도공",'3구간'!$P$6:$P$502,"2")</f>
        <v>0</v>
      </c>
      <c r="Q11" s="126">
        <f>COUNTIF('3구간'!$N$6:$N$502,"도공")</f>
        <v>0</v>
      </c>
      <c r="R11" s="127" t="s">
        <v>4</v>
      </c>
      <c r="S11" s="128">
        <f>SUMIF('3구간'!$N$6:$N$502,"도공",'3구간'!$F$6:$F$502)</f>
        <v>0</v>
      </c>
      <c r="T11" s="126">
        <f t="shared" si="0"/>
        <v>0</v>
      </c>
      <c r="U11" s="127" t="s">
        <v>4</v>
      </c>
      <c r="V11" s="128">
        <f t="shared" si="1"/>
        <v>0</v>
      </c>
      <c r="W11" s="126">
        <f t="shared" si="1"/>
        <v>0</v>
      </c>
      <c r="X11" s="127" t="s">
        <v>4</v>
      </c>
      <c r="Y11" s="128">
        <f t="shared" si="2"/>
        <v>0</v>
      </c>
      <c r="Z11" s="105"/>
      <c r="AA11" s="10"/>
      <c r="AB11" s="10"/>
      <c r="AC11" s="10"/>
      <c r="AD11" s="10"/>
      <c r="AE11" s="10"/>
      <c r="AF11" s="10"/>
      <c r="AG11" s="10"/>
      <c r="AH11" s="10"/>
    </row>
    <row r="12" spans="1:34" s="11" customFormat="1" ht="17.100000000000001" customHeight="1">
      <c r="A12" s="125" t="s">
        <v>10</v>
      </c>
      <c r="B12" s="126">
        <f>COUNTIFS('3구간'!$C$6:$C$502,"구",'3구간'!$P$6:$P$502,"2")</f>
        <v>0</v>
      </c>
      <c r="C12" s="127" t="s">
        <v>4</v>
      </c>
      <c r="D12" s="128">
        <f>SUMIFS('3구간'!$E$6:$E$502,'3구간'!$C$6:$C$502,"구",'3구간'!$P$6:$P$502,"2")</f>
        <v>0</v>
      </c>
      <c r="E12" s="126">
        <f>COUNTIF('3구간'!$C$6:$C$502,"구")</f>
        <v>0</v>
      </c>
      <c r="F12" s="127" t="s">
        <v>4</v>
      </c>
      <c r="G12" s="128">
        <f>SUMIF('3구간'!$C$6:$C$502,"구",'3구간'!$F$6:$F$502)</f>
        <v>0</v>
      </c>
      <c r="H12" s="126">
        <f>COUNTIFS('3구간'!$N$6:$N$502,"구국",'3구간'!$P$6:$P$502,"2")</f>
        <v>0</v>
      </c>
      <c r="I12" s="127" t="s">
        <v>4</v>
      </c>
      <c r="J12" s="128">
        <f>SUMIFS('3구간'!$E$6:$E$502,'3구간'!$N$6:$N$502,"구국",'3구간'!$P$6:$P$502,"2")</f>
        <v>0</v>
      </c>
      <c r="K12" s="126">
        <f>COUNTIF('3구간'!$N$6:$N$502,"구국")</f>
        <v>0</v>
      </c>
      <c r="L12" s="127" t="s">
        <v>4</v>
      </c>
      <c r="M12" s="128">
        <f>SUMIF('3구간'!$N$6:$N$502,"구국",'3구간'!$F$6:$F$502)</f>
        <v>0</v>
      </c>
      <c r="N12" s="126">
        <f>COUNTIFS('3구간'!$N$6:$N$502,"구공",'3구간'!$P$6:$P$502,"2")</f>
        <v>0</v>
      </c>
      <c r="O12" s="127" t="s">
        <v>4</v>
      </c>
      <c r="P12" s="128">
        <f>SUMIFS('3구간'!$E$6:$E$502,'3구간'!$N$6:$N$502,"구공",'3구간'!$P$6:$P$502,"2")</f>
        <v>0</v>
      </c>
      <c r="Q12" s="126">
        <f>COUNTIF('3구간'!$N$6:$N$502,"구공")</f>
        <v>0</v>
      </c>
      <c r="R12" s="127" t="s">
        <v>4</v>
      </c>
      <c r="S12" s="128">
        <f>SUMIF('3구간'!$N$6:$N$502,"구공",'3구간'!$F$6:$F$502)</f>
        <v>0</v>
      </c>
      <c r="T12" s="126">
        <f t="shared" si="0"/>
        <v>0</v>
      </c>
      <c r="U12" s="127" t="s">
        <v>4</v>
      </c>
      <c r="V12" s="128">
        <f t="shared" si="1"/>
        <v>0</v>
      </c>
      <c r="W12" s="126">
        <f t="shared" si="1"/>
        <v>0</v>
      </c>
      <c r="X12" s="127" t="s">
        <v>4</v>
      </c>
      <c r="Y12" s="128">
        <f t="shared" si="2"/>
        <v>0</v>
      </c>
      <c r="Z12" s="105"/>
      <c r="AA12" s="10"/>
      <c r="AB12" s="10"/>
      <c r="AC12" s="10"/>
      <c r="AD12" s="10"/>
      <c r="AE12" s="10"/>
      <c r="AF12" s="10"/>
      <c r="AG12" s="10"/>
      <c r="AH12" s="10"/>
    </row>
    <row r="13" spans="1:34" s="11" customFormat="1" ht="17.100000000000001" customHeight="1">
      <c r="A13" s="125" t="s">
        <v>11</v>
      </c>
      <c r="B13" s="126">
        <f>COUNTIFS('3구간'!$C$6:$C$502,"천",'3구간'!$P$6:$P$502,"2")</f>
        <v>0</v>
      </c>
      <c r="C13" s="127" t="s">
        <v>4</v>
      </c>
      <c r="D13" s="128">
        <f>SUMIFS('3구간'!$E$6:$E$502,'3구간'!$C$6:$C$502,"천",'3구간'!$P$6:$P$502,"2")</f>
        <v>0</v>
      </c>
      <c r="E13" s="126">
        <f>COUNTIF('3구간'!$C$6:$C$502,"천")</f>
        <v>0</v>
      </c>
      <c r="F13" s="127" t="s">
        <v>4</v>
      </c>
      <c r="G13" s="128">
        <f>SUMIF('3구간'!$C$6:$C$502,"천",'3구간'!$F$6:$F$502)</f>
        <v>0</v>
      </c>
      <c r="H13" s="126">
        <f>COUNTIFS('3구간'!$N$6:$N$502,"천국",'3구간'!$P$6:$P$502,"2")</f>
        <v>0</v>
      </c>
      <c r="I13" s="127" t="s">
        <v>4</v>
      </c>
      <c r="J13" s="128">
        <f>SUMIFS('3구간'!$E$6:$E$502,'3구간'!$N$6:$N$502,"천국",'3구간'!$P$6:$P$502,"2")</f>
        <v>0</v>
      </c>
      <c r="K13" s="126">
        <f>COUNTIF('3구간'!$N$6:$N$502,"천국")</f>
        <v>0</v>
      </c>
      <c r="L13" s="127" t="s">
        <v>4</v>
      </c>
      <c r="M13" s="128">
        <f>SUMIF('3구간'!$N$6:$N$502,"천국",'3구간'!$F$6:$F$502)</f>
        <v>0</v>
      </c>
      <c r="N13" s="126">
        <f>COUNTIFS('3구간'!$N$6:$N$502,"천공",'3구간'!$P$6:$P$502,"2")</f>
        <v>0</v>
      </c>
      <c r="O13" s="127" t="s">
        <v>4</v>
      </c>
      <c r="P13" s="128">
        <f>SUMIFS('3구간'!$E$6:$E$502,'3구간'!$N$6:$N$502,"천공",'3구간'!$P$6:$P$502,"2")</f>
        <v>0</v>
      </c>
      <c r="Q13" s="126">
        <f>COUNTIF('3구간'!$N$6:$N$502,"천공")</f>
        <v>0</v>
      </c>
      <c r="R13" s="127" t="s">
        <v>4</v>
      </c>
      <c r="S13" s="128">
        <f>SUMIF('3구간'!$N$6:$N$502,"천공",'3구간'!$F$6:$F$502)</f>
        <v>0</v>
      </c>
      <c r="T13" s="126">
        <f t="shared" si="0"/>
        <v>0</v>
      </c>
      <c r="U13" s="127" t="s">
        <v>4</v>
      </c>
      <c r="V13" s="128">
        <f t="shared" si="1"/>
        <v>0</v>
      </c>
      <c r="W13" s="126">
        <f t="shared" si="1"/>
        <v>0</v>
      </c>
      <c r="X13" s="127" t="s">
        <v>4</v>
      </c>
      <c r="Y13" s="128">
        <f t="shared" si="2"/>
        <v>0</v>
      </c>
      <c r="Z13" s="105"/>
      <c r="AA13" s="10"/>
      <c r="AB13" s="10"/>
      <c r="AC13" s="10"/>
      <c r="AD13" s="10"/>
      <c r="AE13" s="10"/>
      <c r="AF13" s="10"/>
      <c r="AG13" s="10"/>
      <c r="AH13" s="10"/>
    </row>
    <row r="14" spans="1:34" s="11" customFormat="1" ht="17.100000000000001" customHeight="1">
      <c r="A14" s="125" t="s">
        <v>12</v>
      </c>
      <c r="B14" s="126">
        <f>COUNTIFS('3구간'!$C$6:$C$502,"유",'3구간'!$P$6:$P$502,"2")</f>
        <v>0</v>
      </c>
      <c r="C14" s="127" t="s">
        <v>4</v>
      </c>
      <c r="D14" s="128">
        <f>SUMIFS('3구간'!$E$6:$E$502,'3구간'!$C$6:$C$502,"유",'3구간'!$P$6:$P$502,"2")</f>
        <v>0</v>
      </c>
      <c r="E14" s="126">
        <f>COUNTIF('3구간'!$C$6:$C$502,"유")</f>
        <v>0</v>
      </c>
      <c r="F14" s="127" t="s">
        <v>4</v>
      </c>
      <c r="G14" s="128">
        <f>SUMIF('3구간'!$C$6:$C$502,"유",'3구간'!$F$6:$F$502)</f>
        <v>0</v>
      </c>
      <c r="H14" s="126">
        <f>COUNTIFS('3구간'!$N$6:$N$502,"유국",'3구간'!$P$6:$P$502,"2")</f>
        <v>0</v>
      </c>
      <c r="I14" s="127" t="s">
        <v>4</v>
      </c>
      <c r="J14" s="128">
        <f>SUMIFS('3구간'!$E$6:$E$502,'3구간'!$N$6:$N$502,"유국",'3구간'!$P$6:$P$502,"2")</f>
        <v>0</v>
      </c>
      <c r="K14" s="126">
        <f>COUNTIF('3구간'!$N$6:$N$502,"유국")</f>
        <v>0</v>
      </c>
      <c r="L14" s="127" t="s">
        <v>4</v>
      </c>
      <c r="M14" s="128">
        <f>SUMIF('3구간'!$N$6:$N$502,"유국",'3구간'!$F$6:$F$502)</f>
        <v>0</v>
      </c>
      <c r="N14" s="126">
        <f>COUNTIFS('3구간'!$N$6:$N$502,"유공",'3구간'!$P$6:$P$502,"2")</f>
        <v>0</v>
      </c>
      <c r="O14" s="127" t="s">
        <v>4</v>
      </c>
      <c r="P14" s="128">
        <f>SUMIFS('3구간'!$E$6:$E$502,'3구간'!$N$6:$N$502,"유공",'3구간'!$P$6:$P$502,"2")</f>
        <v>0</v>
      </c>
      <c r="Q14" s="126">
        <f>COUNTIF('3구간'!$N$6:$N$502,"유공")</f>
        <v>0</v>
      </c>
      <c r="R14" s="127" t="s">
        <v>4</v>
      </c>
      <c r="S14" s="128">
        <f>SUMIF('3구간'!$N$6:$N$502,"유공",'3구간'!$F$6:$F$502)</f>
        <v>0</v>
      </c>
      <c r="T14" s="126">
        <f t="shared" si="0"/>
        <v>0</v>
      </c>
      <c r="U14" s="127" t="s">
        <v>4</v>
      </c>
      <c r="V14" s="128">
        <f t="shared" si="1"/>
        <v>0</v>
      </c>
      <c r="W14" s="126">
        <f t="shared" si="1"/>
        <v>0</v>
      </c>
      <c r="X14" s="127" t="s">
        <v>4</v>
      </c>
      <c r="Y14" s="128">
        <f t="shared" si="2"/>
        <v>0</v>
      </c>
      <c r="Z14" s="105"/>
      <c r="AA14" s="10"/>
      <c r="AB14" s="10"/>
      <c r="AC14" s="10"/>
      <c r="AD14" s="10"/>
      <c r="AE14" s="10"/>
      <c r="AF14" s="10"/>
      <c r="AG14" s="10"/>
      <c r="AH14" s="10"/>
    </row>
    <row r="15" spans="1:34" s="11" customFormat="1" ht="17.100000000000001" customHeight="1">
      <c r="A15" s="125" t="s">
        <v>13</v>
      </c>
      <c r="B15" s="126">
        <f>COUNTIFS('3구간'!$C$6:$C$502,"제",'3구간'!$P$6:$P$502,"2")</f>
        <v>0</v>
      </c>
      <c r="C15" s="127" t="s">
        <v>4</v>
      </c>
      <c r="D15" s="128">
        <f>SUMIFS('3구간'!$E$6:$E$502,'3구간'!$C$6:$C$502,"제",'3구간'!$P$6:$P$502,"2")</f>
        <v>0</v>
      </c>
      <c r="E15" s="126">
        <f>COUNTIF('3구간'!$C$6:$C$502,"제")</f>
        <v>0</v>
      </c>
      <c r="F15" s="127" t="s">
        <v>4</v>
      </c>
      <c r="G15" s="128">
        <f>SUMIF('3구간'!$C$6:$C$502,"제",'3구간'!$F$6:$F$502)</f>
        <v>0</v>
      </c>
      <c r="H15" s="126">
        <f>COUNTIFS('3구간'!$N$6:$N$502,"제국",'3구간'!$P$6:$P$502,"2")</f>
        <v>0</v>
      </c>
      <c r="I15" s="127" t="s">
        <v>4</v>
      </c>
      <c r="J15" s="128">
        <f>SUMIFS('3구간'!$E$6:$E$502,'3구간'!$N$6:$N$502,"제국",'3구간'!$P$6:$P$502,"2")</f>
        <v>0</v>
      </c>
      <c r="K15" s="126">
        <f>COUNTIF('3구간'!$N$6:$N$502,"제국")</f>
        <v>0</v>
      </c>
      <c r="L15" s="127" t="s">
        <v>4</v>
      </c>
      <c r="M15" s="128">
        <f>SUMIF('3구간'!$N$6:$N$502,"제국",'3구간'!$F$6:$F$502)</f>
        <v>0</v>
      </c>
      <c r="N15" s="126">
        <f>COUNTIFS('3구간'!$N$6:$N$502,"제공",'3구간'!$P$6:$P$502,"2")</f>
        <v>0</v>
      </c>
      <c r="O15" s="127" t="s">
        <v>4</v>
      </c>
      <c r="P15" s="128">
        <f>SUMIFS('3구간'!$E$6:$E$502,'3구간'!$N$6:$N$502,"제공",'3구간'!$P$6:$P$502,"2")</f>
        <v>0</v>
      </c>
      <c r="Q15" s="126">
        <f>COUNTIF('3구간'!$N$6:$N$502,"제공")</f>
        <v>0</v>
      </c>
      <c r="R15" s="127" t="s">
        <v>4</v>
      </c>
      <c r="S15" s="128">
        <f>SUMIF('3구간'!$N$6:$N$502,"제공",'3구간'!$F$6:$F$502)</f>
        <v>0</v>
      </c>
      <c r="T15" s="126">
        <f t="shared" si="0"/>
        <v>0</v>
      </c>
      <c r="U15" s="127" t="s">
        <v>4</v>
      </c>
      <c r="V15" s="128">
        <f t="shared" si="1"/>
        <v>0</v>
      </c>
      <c r="W15" s="126">
        <f t="shared" si="1"/>
        <v>0</v>
      </c>
      <c r="X15" s="127" t="s">
        <v>4</v>
      </c>
      <c r="Y15" s="128">
        <f t="shared" si="2"/>
        <v>0</v>
      </c>
      <c r="Z15" s="105"/>
      <c r="AA15" s="10"/>
      <c r="AB15" s="10"/>
      <c r="AC15" s="10"/>
      <c r="AD15" s="10"/>
      <c r="AE15" s="10"/>
      <c r="AF15" s="10"/>
      <c r="AG15" s="10"/>
      <c r="AH15" s="10"/>
    </row>
    <row r="16" spans="1:34" s="11" customFormat="1" ht="17.100000000000001" customHeight="1">
      <c r="A16" s="125" t="s">
        <v>14</v>
      </c>
      <c r="B16" s="126">
        <f>COUNTIFS('3구간'!$C$6:$C$502,"과",'3구간'!$P$6:$P$502,"2")</f>
        <v>0</v>
      </c>
      <c r="C16" s="127" t="s">
        <v>4</v>
      </c>
      <c r="D16" s="128">
        <f>SUMIFS('3구간'!$E$6:$E$502,'3구간'!$C$6:$C$502,"과",'3구간'!$P$6:$P$502,"2")</f>
        <v>0</v>
      </c>
      <c r="E16" s="126">
        <f>COUNTIF('3구간'!$C$6:$C$502,"과")</f>
        <v>0</v>
      </c>
      <c r="F16" s="127" t="s">
        <v>4</v>
      </c>
      <c r="G16" s="128">
        <f>SUMIF('3구간'!$C$6:$C$502,"과",'3구간'!$F$6:$F$502)</f>
        <v>0</v>
      </c>
      <c r="H16" s="126">
        <f>COUNTIFS('3구간'!$N$6:$N$502,"과국",'3구간'!$P$6:$P$502,"2")</f>
        <v>0</v>
      </c>
      <c r="I16" s="127" t="s">
        <v>4</v>
      </c>
      <c r="J16" s="128">
        <f>SUMIFS('3구간'!$E$6:$E$502,'3구간'!$N$6:$N$502,"과국",'3구간'!$P$6:$P$502,"2")</f>
        <v>0</v>
      </c>
      <c r="K16" s="126">
        <f>COUNTIF('3구간'!$N$6:$N$502,"과국")</f>
        <v>0</v>
      </c>
      <c r="L16" s="127" t="s">
        <v>4</v>
      </c>
      <c r="M16" s="128">
        <f>SUMIF('3구간'!$N$6:$N$502,"과국",'3구간'!$F$6:$F$502)</f>
        <v>0</v>
      </c>
      <c r="N16" s="126">
        <f>COUNTIFS('3구간'!$N$6:$N$502,"과공",'3구간'!$P$6:$P$502,"2")</f>
        <v>0</v>
      </c>
      <c r="O16" s="127" t="s">
        <v>4</v>
      </c>
      <c r="P16" s="128">
        <f>SUMIFS('3구간'!$E$6:$E$502,'3구간'!$N$6:$N$502,"과공",'3구간'!$P$6:$P$502,"2")</f>
        <v>0</v>
      </c>
      <c r="Q16" s="126">
        <f>COUNTIF('3구간'!$N$6:$N$502,"과공")</f>
        <v>0</v>
      </c>
      <c r="R16" s="127" t="s">
        <v>4</v>
      </c>
      <c r="S16" s="128">
        <f>SUMIF('3구간'!$N$6:$N$502,"과공",'3구간'!$F$6:$F$502)</f>
        <v>0</v>
      </c>
      <c r="T16" s="126">
        <f t="shared" si="0"/>
        <v>0</v>
      </c>
      <c r="U16" s="127" t="s">
        <v>4</v>
      </c>
      <c r="V16" s="128">
        <f t="shared" si="1"/>
        <v>0</v>
      </c>
      <c r="W16" s="126">
        <f t="shared" si="1"/>
        <v>0</v>
      </c>
      <c r="X16" s="127" t="s">
        <v>4</v>
      </c>
      <c r="Y16" s="128">
        <f t="shared" si="2"/>
        <v>0</v>
      </c>
      <c r="Z16" s="105"/>
      <c r="AA16" s="10"/>
      <c r="AB16" s="10"/>
      <c r="AC16" s="10"/>
      <c r="AD16" s="10"/>
      <c r="AE16" s="10"/>
      <c r="AF16" s="10"/>
      <c r="AG16" s="10"/>
      <c r="AH16" s="10"/>
    </row>
    <row r="17" spans="1:34" s="11" customFormat="1" ht="17.100000000000001" customHeight="1">
      <c r="A17" s="125" t="s">
        <v>15</v>
      </c>
      <c r="B17" s="126">
        <f>COUNTIFS('3구간'!$C$6:$C$502,"장",'3구간'!$P$6:$P$502,"2")</f>
        <v>0</v>
      </c>
      <c r="C17" s="127" t="s">
        <v>4</v>
      </c>
      <c r="D17" s="128">
        <f>SUMIFS('3구간'!$E$6:$E$502,'3구간'!$C$6:$C$502,"장",'3구간'!$P$6:$P$502,"2")</f>
        <v>0</v>
      </c>
      <c r="E17" s="126">
        <f>COUNTIF('3구간'!$C$6:$C$502,"장")</f>
        <v>0</v>
      </c>
      <c r="F17" s="127" t="s">
        <v>4</v>
      </c>
      <c r="G17" s="128">
        <f>SUMIF('3구간'!$C$6:$C$502,"장",'3구간'!$F$6:$F$502)</f>
        <v>0</v>
      </c>
      <c r="H17" s="126">
        <f>COUNTIFS('3구간'!$N$6:$N$502,"장국",'3구간'!$P$6:$P$502,"2")</f>
        <v>0</v>
      </c>
      <c r="I17" s="127" t="s">
        <v>4</v>
      </c>
      <c r="J17" s="128">
        <f>SUMIFS('3구간'!$E$6:$E$502,'3구간'!$N$6:$N$502,"장국",'3구간'!$P$6:$P$502,"2")</f>
        <v>0</v>
      </c>
      <c r="K17" s="126">
        <f>COUNTIF('3구간'!$N$6:$N$502,"장국")</f>
        <v>0</v>
      </c>
      <c r="L17" s="127" t="s">
        <v>4</v>
      </c>
      <c r="M17" s="128">
        <f>SUMIF('3구간'!$N$6:$N$502,"장국",'3구간'!$F$6:$F$502)</f>
        <v>0</v>
      </c>
      <c r="N17" s="126">
        <f>COUNTIFS('3구간'!$N$6:$N$502,"장공",'3구간'!$P$6:$P$502,"2")</f>
        <v>0</v>
      </c>
      <c r="O17" s="127" t="s">
        <v>4</v>
      </c>
      <c r="P17" s="128">
        <f>SUMIFS('3구간'!$E$6:$E$502,'3구간'!$N$6:$N$502,"장공",'3구간'!$P$6:$P$502,"2")</f>
        <v>0</v>
      </c>
      <c r="Q17" s="126">
        <f>COUNTIF('3구간'!$N$6:$N$502,"장공")</f>
        <v>0</v>
      </c>
      <c r="R17" s="127" t="s">
        <v>4</v>
      </c>
      <c r="S17" s="128">
        <f>SUMIF('3구간'!$N$6:$N$502,"장공",'3구간'!$F$6:$F$502)</f>
        <v>0</v>
      </c>
      <c r="T17" s="126">
        <f t="shared" si="0"/>
        <v>0</v>
      </c>
      <c r="U17" s="127" t="s">
        <v>4</v>
      </c>
      <c r="V17" s="128">
        <f t="shared" si="1"/>
        <v>0</v>
      </c>
      <c r="W17" s="126">
        <f t="shared" si="1"/>
        <v>0</v>
      </c>
      <c r="X17" s="127" t="s">
        <v>4</v>
      </c>
      <c r="Y17" s="128">
        <f t="shared" si="2"/>
        <v>0</v>
      </c>
      <c r="Z17" s="105"/>
      <c r="AA17" s="10"/>
      <c r="AB17" s="10"/>
      <c r="AC17" s="10"/>
      <c r="AD17" s="10"/>
      <c r="AE17" s="10"/>
      <c r="AF17" s="10"/>
      <c r="AG17" s="10"/>
      <c r="AH17" s="10"/>
    </row>
    <row r="18" spans="1:34" s="11" customFormat="1" ht="17.100000000000001" customHeight="1">
      <c r="A18" s="125" t="s">
        <v>16</v>
      </c>
      <c r="B18" s="126">
        <f>COUNTIFS('3구간'!$C$6:$C$502,"목",'3구간'!$P$6:$P$502,"2")</f>
        <v>0</v>
      </c>
      <c r="C18" s="127" t="s">
        <v>4</v>
      </c>
      <c r="D18" s="128">
        <f>SUMIFS('3구간'!$E$6:$E$502,'3구간'!$C$6:$C$502,"목",'3구간'!$P$6:$P$502,"2")</f>
        <v>0</v>
      </c>
      <c r="E18" s="126">
        <f>COUNTIF('3구간'!$C$6:$C$502,"목")</f>
        <v>0</v>
      </c>
      <c r="F18" s="127" t="s">
        <v>4</v>
      </c>
      <c r="G18" s="128">
        <f>SUMIF('3구간'!$C$6:$C$502,"목",'3구간'!$F$6:$F$502)</f>
        <v>0</v>
      </c>
      <c r="H18" s="126">
        <f>COUNTIFS('3구간'!$N$6:$N$502,"목국",'3구간'!$P$6:$P$502,"2")</f>
        <v>0</v>
      </c>
      <c r="I18" s="127" t="s">
        <v>4</v>
      </c>
      <c r="J18" s="128">
        <f>SUMIFS('3구간'!$E$6:$E$502,'3구간'!$N$6:$N$502,"목국",'3구간'!$P$6:$P$502,"2")</f>
        <v>0</v>
      </c>
      <c r="K18" s="126">
        <f>COUNTIF('3구간'!$N$6:$N$502,"목국")</f>
        <v>0</v>
      </c>
      <c r="L18" s="127" t="s">
        <v>4</v>
      </c>
      <c r="M18" s="128">
        <f>SUMIF('3구간'!$N$6:$N$502,"목국",'3구간'!$F$6:$F$502)</f>
        <v>0</v>
      </c>
      <c r="N18" s="126">
        <f>COUNTIFS('3구간'!$N$6:$N$502,"목공",'3구간'!$P$6:$P$502,"2")</f>
        <v>0</v>
      </c>
      <c r="O18" s="127" t="s">
        <v>4</v>
      </c>
      <c r="P18" s="128">
        <f>SUMIFS('3구간'!$E$6:$E$502,'3구간'!$N$6:$N$502,"목공",'3구간'!$P$6:$P$502,"2")</f>
        <v>0</v>
      </c>
      <c r="Q18" s="126">
        <f>COUNTIF('3구간'!$N$6:$N$502,"목공")</f>
        <v>0</v>
      </c>
      <c r="R18" s="127" t="s">
        <v>4</v>
      </c>
      <c r="S18" s="128">
        <f>SUMIF('3구간'!$N$6:$N$502,"목공",'3구간'!$F$6:$F$502)</f>
        <v>0</v>
      </c>
      <c r="T18" s="126">
        <f t="shared" si="0"/>
        <v>0</v>
      </c>
      <c r="U18" s="127" t="s">
        <v>4</v>
      </c>
      <c r="V18" s="128">
        <f t="shared" si="1"/>
        <v>0</v>
      </c>
      <c r="W18" s="126">
        <f t="shared" si="1"/>
        <v>0</v>
      </c>
      <c r="X18" s="127" t="s">
        <v>4</v>
      </c>
      <c r="Y18" s="128">
        <f t="shared" si="2"/>
        <v>0</v>
      </c>
      <c r="Z18" s="105"/>
      <c r="AA18" s="10"/>
      <c r="AB18" s="10"/>
      <c r="AC18" s="10"/>
      <c r="AD18" s="10"/>
      <c r="AE18" s="10"/>
      <c r="AF18" s="10"/>
      <c r="AG18" s="10"/>
      <c r="AH18" s="10"/>
    </row>
    <row r="19" spans="1:34" s="11" customFormat="1" ht="17.100000000000001" customHeight="1">
      <c r="A19" s="125" t="s">
        <v>17</v>
      </c>
      <c r="B19" s="126">
        <f>COUNTIFS('3구간'!$C$6:$C$502,"학",'3구간'!$P$6:$P$502,"2")</f>
        <v>0</v>
      </c>
      <c r="C19" s="127" t="s">
        <v>4</v>
      </c>
      <c r="D19" s="128">
        <f>SUMIFS('3구간'!$E$6:$E$502,'3구간'!$C$6:$C$502,"학",'3구간'!$P$6:$P$502,"2")</f>
        <v>0</v>
      </c>
      <c r="E19" s="126">
        <f>COUNTIF('3구간'!$C$6:$C$502,"학")</f>
        <v>0</v>
      </c>
      <c r="F19" s="127" t="s">
        <v>4</v>
      </c>
      <c r="G19" s="128">
        <f>SUMIF('3구간'!$C$6:$C$502,"학",'3구간'!$F$6:$F$502)</f>
        <v>0</v>
      </c>
      <c r="H19" s="126">
        <f>COUNTIFS('3구간'!$N$6:$N$502,"학국",'3구간'!$P$6:$P$502,"2")</f>
        <v>0</v>
      </c>
      <c r="I19" s="127" t="s">
        <v>4</v>
      </c>
      <c r="J19" s="128">
        <f>SUMIFS('3구간'!$E$6:$E$502,'3구간'!$N$6:$N$502,"학국",'3구간'!$P$6:$P$502,"2")</f>
        <v>0</v>
      </c>
      <c r="K19" s="126">
        <f>COUNTIF('3구간'!$N$6:$N$502,"학국")</f>
        <v>0</v>
      </c>
      <c r="L19" s="127" t="s">
        <v>4</v>
      </c>
      <c r="M19" s="128">
        <f>SUMIF('3구간'!$N$6:$N$502,"학국",'3구간'!$F$6:$F$502)</f>
        <v>0</v>
      </c>
      <c r="N19" s="126">
        <f>COUNTIFS('3구간'!$N$6:$N$502,"학공",'3구간'!$P$6:$P$502,"2")</f>
        <v>0</v>
      </c>
      <c r="O19" s="127" t="s">
        <v>4</v>
      </c>
      <c r="P19" s="128">
        <f>SUMIFS('3구간'!$E$6:$E$502,'3구간'!$N$6:$N$502,"학공",'3구간'!$P$6:$P$502,"2")</f>
        <v>0</v>
      </c>
      <c r="Q19" s="126">
        <f>COUNTIF('3구간'!$N$6:$N$502,"학공")</f>
        <v>0</v>
      </c>
      <c r="R19" s="127" t="s">
        <v>4</v>
      </c>
      <c r="S19" s="128">
        <f>SUMIF('3구간'!$N$6:$N$502,"학공",'3구간'!$F$6:$F$502)</f>
        <v>0</v>
      </c>
      <c r="T19" s="126">
        <f t="shared" si="0"/>
        <v>0</v>
      </c>
      <c r="U19" s="127" t="s">
        <v>4</v>
      </c>
      <c r="V19" s="128">
        <f t="shared" si="1"/>
        <v>0</v>
      </c>
      <c r="W19" s="126">
        <f t="shared" si="1"/>
        <v>0</v>
      </c>
      <c r="X19" s="127" t="s">
        <v>4</v>
      </c>
      <c r="Y19" s="128">
        <f t="shared" si="2"/>
        <v>0</v>
      </c>
      <c r="Z19" s="105"/>
      <c r="AA19" s="10"/>
      <c r="AB19" s="10"/>
      <c r="AC19" s="10"/>
      <c r="AD19" s="10"/>
      <c r="AE19" s="10"/>
      <c r="AF19" s="10"/>
      <c r="AG19" s="10"/>
      <c r="AH19" s="10"/>
    </row>
    <row r="20" spans="1:34" s="11" customFormat="1" ht="17.100000000000001" customHeight="1">
      <c r="A20" s="125" t="s">
        <v>18</v>
      </c>
      <c r="B20" s="126">
        <f>COUNTIFS('3구간'!$C$6:$C$502,"철",'3구간'!$P$6:$P$502,"2")</f>
        <v>0</v>
      </c>
      <c r="C20" s="127" t="s">
        <v>4</v>
      </c>
      <c r="D20" s="128">
        <f>SUMIFS('3구간'!$E$6:$E$502,'3구간'!$C$6:$C$502,"철",'3구간'!$P$6:$P$502,"2")</f>
        <v>0</v>
      </c>
      <c r="E20" s="126">
        <f>COUNTIF('3구간'!$C$6:$C$502,"철")</f>
        <v>0</v>
      </c>
      <c r="F20" s="127" t="s">
        <v>4</v>
      </c>
      <c r="G20" s="128">
        <f>SUMIF('3구간'!$C$6:$C$502,"철",'3구간'!$F$6:$F$502)</f>
        <v>0</v>
      </c>
      <c r="H20" s="126">
        <f>COUNTIFS('3구간'!$N$6:$N$502,"철국",'3구간'!$P$6:$P$502,"2")</f>
        <v>0</v>
      </c>
      <c r="I20" s="127" t="s">
        <v>4</v>
      </c>
      <c r="J20" s="128">
        <f>SUMIFS('3구간'!$E$6:$E$502,'3구간'!$N$6:$N$502,"철국",'3구간'!$P$6:$P$502,"2")</f>
        <v>0</v>
      </c>
      <c r="K20" s="126">
        <f>COUNTIF('3구간'!$N$6:$N$502,"철국")</f>
        <v>0</v>
      </c>
      <c r="L20" s="127" t="s">
        <v>4</v>
      </c>
      <c r="M20" s="128">
        <f>SUMIF('3구간'!$N$6:$N$502,"철국",'3구간'!$F$6:$F$502)</f>
        <v>0</v>
      </c>
      <c r="N20" s="126">
        <f>COUNTIFS('3구간'!$N$6:$N$502,"철공",'3구간'!$P$6:$P$502,"2")</f>
        <v>0</v>
      </c>
      <c r="O20" s="127" t="s">
        <v>4</v>
      </c>
      <c r="P20" s="128">
        <f>SUMIFS('3구간'!$E$6:$E$502,'3구간'!$N$6:$N$502,"철공",'3구간'!$P$6:$P$502,"2")</f>
        <v>0</v>
      </c>
      <c r="Q20" s="126">
        <f>COUNTIF('3구간'!$N$6:$N$502,"철공")</f>
        <v>0</v>
      </c>
      <c r="R20" s="127" t="s">
        <v>4</v>
      </c>
      <c r="S20" s="128">
        <f>SUMIF('3구간'!$N$6:$N$502,"철공",'3구간'!$F$6:$F$502)</f>
        <v>0</v>
      </c>
      <c r="T20" s="126">
        <f t="shared" si="0"/>
        <v>0</v>
      </c>
      <c r="U20" s="127" t="s">
        <v>4</v>
      </c>
      <c r="V20" s="128">
        <f t="shared" si="1"/>
        <v>0</v>
      </c>
      <c r="W20" s="126">
        <f t="shared" si="1"/>
        <v>0</v>
      </c>
      <c r="X20" s="127" t="s">
        <v>4</v>
      </c>
      <c r="Y20" s="128">
        <f t="shared" si="2"/>
        <v>0</v>
      </c>
      <c r="Z20" s="105"/>
      <c r="AA20" s="10"/>
      <c r="AB20" s="10"/>
      <c r="AC20" s="10"/>
      <c r="AD20" s="10"/>
      <c r="AE20" s="10"/>
      <c r="AF20" s="10"/>
      <c r="AG20" s="10"/>
      <c r="AH20" s="10"/>
    </row>
    <row r="21" spans="1:34" s="11" customFormat="1" ht="17.100000000000001" customHeight="1">
      <c r="A21" s="125" t="s">
        <v>19</v>
      </c>
      <c r="B21" s="126">
        <f>COUNTIFS('3구간'!$C$6:$C$502,"묘",'3구간'!$P$6:$P$502,"2")</f>
        <v>0</v>
      </c>
      <c r="C21" s="127" t="s">
        <v>4</v>
      </c>
      <c r="D21" s="128">
        <f>SUMIFS('3구간'!$E$6:$E$502,'3구간'!$C$6:$C$502,"묘",'3구간'!$P$6:$P$502,"2")</f>
        <v>0</v>
      </c>
      <c r="E21" s="126">
        <f>COUNTIF('3구간'!$C$6:$C$502,"묘")</f>
        <v>0</v>
      </c>
      <c r="F21" s="127" t="s">
        <v>4</v>
      </c>
      <c r="G21" s="128">
        <f>SUMIF('3구간'!$C$6:$C$502,"묘",'3구간'!$F$6:$F$502)</f>
        <v>0</v>
      </c>
      <c r="H21" s="126">
        <f>COUNTIFS('3구간'!$N$6:$N$502,"묘국",'3구간'!$P$6:$P$502,"2")</f>
        <v>0</v>
      </c>
      <c r="I21" s="127" t="s">
        <v>4</v>
      </c>
      <c r="J21" s="128">
        <f>SUMIFS('3구간'!$E$6:$E$502,'3구간'!$N$6:$N$502,"묘국",'3구간'!$P$6:$P$502,"2")</f>
        <v>0</v>
      </c>
      <c r="K21" s="126">
        <f>COUNTIF('3구간'!$N$6:$N$502,"묘국")</f>
        <v>0</v>
      </c>
      <c r="L21" s="127" t="s">
        <v>4</v>
      </c>
      <c r="M21" s="128">
        <f>SUMIF('3구간'!$N$6:$N$502,"묘국",'3구간'!$F$6:$F$502)</f>
        <v>0</v>
      </c>
      <c r="N21" s="126">
        <f>COUNTIFS('3구간'!$N$6:$N$502,"묘공",'3구간'!$P$6:$P$502,"2")</f>
        <v>0</v>
      </c>
      <c r="O21" s="127" t="s">
        <v>4</v>
      </c>
      <c r="P21" s="128">
        <f>SUMIFS('3구간'!$E$6:$E$502,'3구간'!$N$6:$N$502,"묘공",'3구간'!$P$6:$P$502,"2")</f>
        <v>0</v>
      </c>
      <c r="Q21" s="126">
        <f>COUNTIF('3구간'!$N$6:$N$502,"묘공")</f>
        <v>0</v>
      </c>
      <c r="R21" s="127" t="s">
        <v>4</v>
      </c>
      <c r="S21" s="128">
        <f>SUMIF('3구간'!$N$6:$N$502,"묘공",'3구간'!$F$6:$F$502)</f>
        <v>0</v>
      </c>
      <c r="T21" s="126">
        <f t="shared" si="0"/>
        <v>0</v>
      </c>
      <c r="U21" s="127" t="s">
        <v>4</v>
      </c>
      <c r="V21" s="128">
        <f t="shared" si="1"/>
        <v>0</v>
      </c>
      <c r="W21" s="126">
        <f t="shared" si="1"/>
        <v>0</v>
      </c>
      <c r="X21" s="127" t="s">
        <v>4</v>
      </c>
      <c r="Y21" s="128">
        <f t="shared" si="2"/>
        <v>0</v>
      </c>
      <c r="Z21" s="105"/>
      <c r="AA21" s="10"/>
      <c r="AB21" s="10"/>
      <c r="AC21" s="10"/>
      <c r="AD21" s="10"/>
      <c r="AE21" s="10"/>
      <c r="AF21" s="10"/>
      <c r="AG21" s="10"/>
      <c r="AH21" s="10"/>
    </row>
    <row r="22" spans="1:34" s="11" customFormat="1" ht="17.100000000000001" customHeight="1">
      <c r="A22" s="125" t="s">
        <v>20</v>
      </c>
      <c r="B22" s="126">
        <f>COUNTIFS('3구간'!$C$6:$C$502,"수",'3구간'!$P$6:$P$502,"2")</f>
        <v>0</v>
      </c>
      <c r="C22" s="127" t="s">
        <v>4</v>
      </c>
      <c r="D22" s="128">
        <f>SUMIFS('3구간'!$E$6:$E$502,'3구간'!$C$6:$C$502,"수",'3구간'!$P$6:$P$502,"2")</f>
        <v>0</v>
      </c>
      <c r="E22" s="126">
        <f>COUNTIF('3구간'!$C$6:$C$502,"수")</f>
        <v>0</v>
      </c>
      <c r="F22" s="127" t="s">
        <v>4</v>
      </c>
      <c r="G22" s="128">
        <f>SUMIF('3구간'!$C$6:$C$502,"수",'3구간'!$F$6:$F$502)</f>
        <v>0</v>
      </c>
      <c r="H22" s="126">
        <f>COUNTIFS('3구간'!$N$6:$N$502,"수국",'3구간'!$P$6:$P$502,"2")</f>
        <v>0</v>
      </c>
      <c r="I22" s="127" t="s">
        <v>4</v>
      </c>
      <c r="J22" s="128">
        <f>SUMIFS('3구간'!$E$6:$E$502,'3구간'!$N$6:$N$502,"수국",'3구간'!$P$6:$P$502,"2")</f>
        <v>0</v>
      </c>
      <c r="K22" s="126">
        <f>COUNTIF('3구간'!$N$6:$N$502,"수국")</f>
        <v>0</v>
      </c>
      <c r="L22" s="127" t="s">
        <v>4</v>
      </c>
      <c r="M22" s="128">
        <f>SUMIF('3구간'!$N$6:$N$502,"수국",'3구간'!$F$6:$F$502)</f>
        <v>0</v>
      </c>
      <c r="N22" s="126">
        <f>COUNTIFS('3구간'!$N$6:$N$502,"수공",'3구간'!$P$6:$P$502,"2")</f>
        <v>0</v>
      </c>
      <c r="O22" s="127" t="s">
        <v>4</v>
      </c>
      <c r="P22" s="128">
        <f>SUMIFS('3구간'!$E$6:$E$502,'3구간'!$N$6:$N$502,"수공",'3구간'!$P$6:$P$502,"2")</f>
        <v>0</v>
      </c>
      <c r="Q22" s="126">
        <f>COUNTIF('3구간'!$N$6:$N$502,"수공")</f>
        <v>0</v>
      </c>
      <c r="R22" s="127" t="s">
        <v>4</v>
      </c>
      <c r="S22" s="128">
        <f>SUMIF('3구간'!$N$6:$N$502,"수공",'3구간'!$F$6:$F$502)</f>
        <v>0</v>
      </c>
      <c r="T22" s="126">
        <f t="shared" si="0"/>
        <v>0</v>
      </c>
      <c r="U22" s="127" t="s">
        <v>4</v>
      </c>
      <c r="V22" s="128">
        <f t="shared" si="1"/>
        <v>0</v>
      </c>
      <c r="W22" s="126">
        <f t="shared" si="1"/>
        <v>0</v>
      </c>
      <c r="X22" s="127" t="s">
        <v>4</v>
      </c>
      <c r="Y22" s="128">
        <f t="shared" si="2"/>
        <v>0</v>
      </c>
      <c r="Z22" s="105"/>
      <c r="AA22" s="10"/>
      <c r="AB22" s="10"/>
      <c r="AC22" s="10"/>
      <c r="AD22" s="10"/>
      <c r="AE22" s="10"/>
      <c r="AF22" s="10"/>
      <c r="AG22" s="10"/>
      <c r="AH22" s="10"/>
    </row>
    <row r="23" spans="1:34" s="11" customFormat="1" ht="17.100000000000001" customHeight="1">
      <c r="A23" s="125" t="s">
        <v>21</v>
      </c>
      <c r="B23" s="126">
        <f>COUNTIFS('3구간'!$C$6:$C$502,"잡",'3구간'!$P$6:$P$502,"2")</f>
        <v>0</v>
      </c>
      <c r="C23" s="127" t="s">
        <v>4</v>
      </c>
      <c r="D23" s="128">
        <f>SUMIFS('3구간'!$E$6:$E$502,'3구간'!$C$6:$C$502,"잡",'3구간'!$P$6:$P$502,"2")</f>
        <v>0</v>
      </c>
      <c r="E23" s="126">
        <f>COUNTIF('3구간'!$C$6:$C$502,"잡")</f>
        <v>0</v>
      </c>
      <c r="F23" s="127" t="s">
        <v>4</v>
      </c>
      <c r="G23" s="128">
        <f>SUMIF('3구간'!$C$6:$C$502,"잡",'3구간'!$F$6:$F$502)</f>
        <v>0</v>
      </c>
      <c r="H23" s="126">
        <f>COUNTIFS('3구간'!$N$6:$N$502,"잡국",'3구간'!$P$6:$P$502,"2")</f>
        <v>0</v>
      </c>
      <c r="I23" s="127" t="s">
        <v>4</v>
      </c>
      <c r="J23" s="128">
        <f>SUMIFS('3구간'!$E$6:$E$502,'3구간'!$N$6:$N$502,"잡국",'3구간'!$P$6:$P$502,"2")</f>
        <v>0</v>
      </c>
      <c r="K23" s="126">
        <f>COUNTIF('3구간'!$N$6:$N$502,"잡국")</f>
        <v>0</v>
      </c>
      <c r="L23" s="127" t="s">
        <v>4</v>
      </c>
      <c r="M23" s="128">
        <f>SUMIF('3구간'!$N$6:$N$502,"잡국",'3구간'!$F$6:$F$502)</f>
        <v>0</v>
      </c>
      <c r="N23" s="126">
        <f>COUNTIFS('3구간'!$N$6:$N$502,"잡공",'3구간'!$P$6:$P$502,"2")</f>
        <v>0</v>
      </c>
      <c r="O23" s="127" t="s">
        <v>4</v>
      </c>
      <c r="P23" s="128">
        <f>SUMIFS('3구간'!$E$6:$E$502,'3구간'!$N$6:$N$502,"잡공",'3구간'!$P$6:$P$502,"2")</f>
        <v>0</v>
      </c>
      <c r="Q23" s="126">
        <f>COUNTIF('3구간'!$N$6:$N$502,"잡공")</f>
        <v>0</v>
      </c>
      <c r="R23" s="127" t="s">
        <v>4</v>
      </c>
      <c r="S23" s="128">
        <f>SUMIF('3구간'!$N$6:$N$502,"잡공",'3구간'!$F$6:$F$502)</f>
        <v>0</v>
      </c>
      <c r="T23" s="126">
        <f t="shared" si="0"/>
        <v>0</v>
      </c>
      <c r="U23" s="127" t="s">
        <v>4</v>
      </c>
      <c r="V23" s="128">
        <f t="shared" si="1"/>
        <v>0</v>
      </c>
      <c r="W23" s="126">
        <f t="shared" si="1"/>
        <v>0</v>
      </c>
      <c r="X23" s="127" t="s">
        <v>4</v>
      </c>
      <c r="Y23" s="128">
        <f t="shared" si="2"/>
        <v>0</v>
      </c>
      <c r="Z23" s="105"/>
      <c r="AA23" s="10"/>
      <c r="AB23" s="10"/>
      <c r="AC23" s="10"/>
      <c r="AD23" s="10"/>
      <c r="AE23" s="10"/>
      <c r="AF23" s="10"/>
      <c r="AG23" s="10"/>
      <c r="AH23" s="10"/>
    </row>
    <row r="24" spans="1:34" s="11" customFormat="1" ht="17.100000000000001" customHeight="1">
      <c r="A24" s="125" t="s">
        <v>22</v>
      </c>
      <c r="B24" s="126">
        <f>COUNTIFS('3구간'!$C$6:$C$502,"종",'3구간'!$P$6:$P$502,"2")</f>
        <v>0</v>
      </c>
      <c r="C24" s="127" t="s">
        <v>4</v>
      </c>
      <c r="D24" s="128">
        <f>SUMIFS('3구간'!$E$6:$E$502,'3구간'!$C$6:$C$502,"종",'3구간'!$P$6:$P$502,"2")</f>
        <v>0</v>
      </c>
      <c r="E24" s="126">
        <f>COUNTIF('3구간'!$C$6:$C$502,"종")</f>
        <v>0</v>
      </c>
      <c r="F24" s="127" t="s">
        <v>4</v>
      </c>
      <c r="G24" s="128">
        <f>SUMIF('3구간'!$C$6:$C$502,"종",'3구간'!$F$6:$F$502)</f>
        <v>0</v>
      </c>
      <c r="H24" s="126">
        <f>COUNTIFS('3구간'!$N$6:$N$502,"종국",'3구간'!$P$6:$P$502,"2")</f>
        <v>0</v>
      </c>
      <c r="I24" s="127" t="s">
        <v>4</v>
      </c>
      <c r="J24" s="128">
        <f>SUMIFS('3구간'!$E$6:$E$502,'3구간'!$N$6:$N$502,"종국",'3구간'!$P$6:$P$502,"2")</f>
        <v>0</v>
      </c>
      <c r="K24" s="126">
        <f>COUNTIF('3구간'!$N$6:$N$502,"종국")</f>
        <v>0</v>
      </c>
      <c r="L24" s="127" t="s">
        <v>4</v>
      </c>
      <c r="M24" s="128">
        <f>SUMIF('3구간'!$N$6:$N$502,"종국",'3구간'!$F$6:$F$502)</f>
        <v>0</v>
      </c>
      <c r="N24" s="126">
        <f>COUNTIFS('3구간'!$N$6:$N$502,"종공",'3구간'!$P$6:$P$502,"2")</f>
        <v>0</v>
      </c>
      <c r="O24" s="127" t="s">
        <v>4</v>
      </c>
      <c r="P24" s="128">
        <f>SUMIFS('3구간'!$E$6:$E$502,'3구간'!$N$6:$N$502,"종공",'3구간'!$P$6:$P$502,"2")</f>
        <v>0</v>
      </c>
      <c r="Q24" s="126">
        <f>COUNTIF('3구간'!$N$6:$N$502,"종공")</f>
        <v>0</v>
      </c>
      <c r="R24" s="127" t="s">
        <v>4</v>
      </c>
      <c r="S24" s="128">
        <f>SUMIF('3구간'!$N$6:$N$502,"종공",'3구간'!$F$6:$F$502)</f>
        <v>0</v>
      </c>
      <c r="T24" s="126">
        <f t="shared" si="0"/>
        <v>0</v>
      </c>
      <c r="U24" s="127" t="s">
        <v>4</v>
      </c>
      <c r="V24" s="128">
        <f t="shared" si="1"/>
        <v>0</v>
      </c>
      <c r="W24" s="126">
        <f t="shared" si="1"/>
        <v>0</v>
      </c>
      <c r="X24" s="127" t="s">
        <v>4</v>
      </c>
      <c r="Y24" s="128">
        <f t="shared" si="2"/>
        <v>0</v>
      </c>
      <c r="Z24" s="105"/>
      <c r="AA24" s="10"/>
      <c r="AB24" s="10"/>
      <c r="AC24" s="10"/>
      <c r="AD24" s="10"/>
      <c r="AE24" s="10"/>
      <c r="AF24" s="10"/>
      <c r="AG24" s="10"/>
      <c r="AH24" s="10"/>
    </row>
    <row r="25" spans="1:34" s="11" customFormat="1" ht="17.100000000000001" customHeight="1">
      <c r="A25" s="125" t="s">
        <v>68</v>
      </c>
      <c r="B25" s="126">
        <f>COUNTIFS('3구간'!$C$6:$C$502,"염",'3구간'!$P$6:$P$502,"2")</f>
        <v>0</v>
      </c>
      <c r="C25" s="127" t="s">
        <v>4</v>
      </c>
      <c r="D25" s="128">
        <f>SUMIFS('3구간'!$E$6:$E$502,'3구간'!$C$6:$C$502,"염",'3구간'!$P$6:$P$502,"2")</f>
        <v>0</v>
      </c>
      <c r="E25" s="126">
        <f>COUNTIF('3구간'!$C$6:$C$502,"염")</f>
        <v>0</v>
      </c>
      <c r="F25" s="127" t="s">
        <v>4</v>
      </c>
      <c r="G25" s="128">
        <f>SUMIF('3구간'!$C$6:$C$502,"염",'3구간'!$F$6:$F$502)</f>
        <v>0</v>
      </c>
      <c r="H25" s="126">
        <f>COUNTIFS('3구간'!$N$6:$N$502,"염국",'3구간'!$P$6:$P$502,"2")</f>
        <v>0</v>
      </c>
      <c r="I25" s="127" t="s">
        <v>4</v>
      </c>
      <c r="J25" s="128">
        <f>SUMIFS('3구간'!$E$6:$E$502,'3구간'!$N$6:$N$502,"염국",'3구간'!$P$6:$P$502,"2")</f>
        <v>0</v>
      </c>
      <c r="K25" s="126">
        <f>COUNTIF('3구간'!$N$6:$N$502,"염국")</f>
        <v>0</v>
      </c>
      <c r="L25" s="127" t="s">
        <v>4</v>
      </c>
      <c r="M25" s="128">
        <f>SUMIF('3구간'!$N$6:$N$502,"염국",'3구간'!$F$6:$F$502)</f>
        <v>0</v>
      </c>
      <c r="N25" s="126">
        <f>COUNTIFS('3구간'!$N$6:$N$502,"염공",'3구간'!$P$6:$P$502,"2")</f>
        <v>0</v>
      </c>
      <c r="O25" s="127" t="s">
        <v>4</v>
      </c>
      <c r="P25" s="128">
        <f>SUMIFS('3구간'!$E$6:$E$502,'3구간'!$N$6:$N$502,"염공",'3구간'!$P$6:$P$502,"2")</f>
        <v>0</v>
      </c>
      <c r="Q25" s="126">
        <f>COUNTIF('3구간'!$N$6:$N$502,"염공")</f>
        <v>0</v>
      </c>
      <c r="R25" s="127" t="s">
        <v>4</v>
      </c>
      <c r="S25" s="128">
        <f>SUMIF('3구간'!$N$6:$N$502,"염공",'3구간'!$F$6:$F$502)</f>
        <v>0</v>
      </c>
      <c r="T25" s="126">
        <f t="shared" si="0"/>
        <v>0</v>
      </c>
      <c r="U25" s="127" t="s">
        <v>4</v>
      </c>
      <c r="V25" s="128">
        <f t="shared" si="1"/>
        <v>0</v>
      </c>
      <c r="W25" s="126">
        <f t="shared" si="1"/>
        <v>0</v>
      </c>
      <c r="X25" s="127" t="s">
        <v>4</v>
      </c>
      <c r="Y25" s="128">
        <f t="shared" si="2"/>
        <v>0</v>
      </c>
      <c r="Z25" s="105"/>
      <c r="AA25" s="10"/>
      <c r="AB25" s="10"/>
      <c r="AC25" s="10"/>
      <c r="AD25" s="10"/>
      <c r="AE25" s="10"/>
      <c r="AF25" s="10"/>
      <c r="AG25" s="10"/>
      <c r="AH25" s="10"/>
    </row>
    <row r="26" spans="1:34" s="11" customFormat="1" ht="17.100000000000001" customHeight="1">
      <c r="A26" s="125" t="s">
        <v>24</v>
      </c>
      <c r="B26" s="126">
        <f>COUNTIFS('3구간'!$C$6:$C$502,"공",'3구간'!$P$6:$P$502,"2")</f>
        <v>0</v>
      </c>
      <c r="C26" s="127" t="s">
        <v>4</v>
      </c>
      <c r="D26" s="128">
        <f>SUMIFS('3구간'!$E$6:$E$502,'3구간'!$C$6:$C$502,"공",'3구간'!$P$6:$P$502,"2")</f>
        <v>0</v>
      </c>
      <c r="E26" s="126">
        <f>COUNTIF('3구간'!$C$6:$C$502,"공")</f>
        <v>0</v>
      </c>
      <c r="F26" s="127" t="s">
        <v>4</v>
      </c>
      <c r="G26" s="128">
        <f>SUMIF('3구간'!$C$6:$C$502,"공",'3구간'!$F$6:$F$502)</f>
        <v>0</v>
      </c>
      <c r="H26" s="126">
        <f>COUNTIFS('3구간'!$N$6:$N$502,"공국",'3구간'!$P$6:$P$502,"2")</f>
        <v>0</v>
      </c>
      <c r="I26" s="127" t="s">
        <v>4</v>
      </c>
      <c r="J26" s="128">
        <f>SUMIFS('3구간'!$E$6:$E$502,'3구간'!$N$6:$N$502,"공국",'3구간'!$P$6:$P$502,"2")</f>
        <v>0</v>
      </c>
      <c r="K26" s="126">
        <f>COUNTIF('3구간'!$N$6:$N$502,"공국")</f>
        <v>0</v>
      </c>
      <c r="L26" s="127" t="s">
        <v>4</v>
      </c>
      <c r="M26" s="128">
        <f>SUMIF('3구간'!$N$6:$N$502,"공국",'3구간'!$F$6:$F$502)</f>
        <v>0</v>
      </c>
      <c r="N26" s="126">
        <f>COUNTIFS('3구간'!$N$6:$N$502,"공공",'3구간'!$P$6:$P$502,"2")</f>
        <v>0</v>
      </c>
      <c r="O26" s="127" t="s">
        <v>4</v>
      </c>
      <c r="P26" s="128">
        <f>SUMIFS('3구간'!$E$6:$E$502,'3구간'!$N$6:$N$502,"공공",'3구간'!$P$6:$P$502,"2")</f>
        <v>0</v>
      </c>
      <c r="Q26" s="126">
        <f>COUNTIF('3구간'!$N$6:$N$502,"공공")</f>
        <v>0</v>
      </c>
      <c r="R26" s="127" t="s">
        <v>4</v>
      </c>
      <c r="S26" s="128">
        <f>SUMIF('3구간'!$N$6:$N$502,"공공",'3구간'!$F$6:$F$502)</f>
        <v>0</v>
      </c>
      <c r="T26" s="126">
        <f t="shared" si="0"/>
        <v>0</v>
      </c>
      <c r="U26" s="127" t="s">
        <v>4</v>
      </c>
      <c r="V26" s="128">
        <f t="shared" si="1"/>
        <v>0</v>
      </c>
      <c r="W26" s="126">
        <f t="shared" si="1"/>
        <v>0</v>
      </c>
      <c r="X26" s="127" t="s">
        <v>4</v>
      </c>
      <c r="Y26" s="128">
        <f t="shared" si="2"/>
        <v>0</v>
      </c>
      <c r="Z26" s="105"/>
      <c r="AA26" s="10"/>
      <c r="AB26" s="10"/>
      <c r="AC26" s="10"/>
      <c r="AD26" s="10"/>
      <c r="AE26" s="10"/>
      <c r="AF26" s="10"/>
      <c r="AG26" s="10"/>
      <c r="AH26" s="10"/>
    </row>
    <row r="27" spans="1:34" s="11" customFormat="1" ht="17.100000000000001" customHeight="1">
      <c r="A27" s="125" t="s">
        <v>25</v>
      </c>
      <c r="B27" s="126">
        <f>COUNTIFS('3구간'!$C$6:$C$502,"체",'3구간'!$P$6:$P$502,"2")</f>
        <v>0</v>
      </c>
      <c r="C27" s="127" t="s">
        <v>4</v>
      </c>
      <c r="D27" s="128">
        <f>SUMIFS('3구간'!$E$6:$E$502,'3구간'!$C$6:$C$502,"체",'3구간'!$P$6:$P$502,"2")</f>
        <v>0</v>
      </c>
      <c r="E27" s="126">
        <f>COUNTIF('3구간'!$C$6:$C$502,"체")</f>
        <v>0</v>
      </c>
      <c r="F27" s="127" t="s">
        <v>4</v>
      </c>
      <c r="G27" s="128">
        <f>SUMIF('3구간'!$C$6:$C$502,"체",'3구간'!$F$6:$F$502)</f>
        <v>0</v>
      </c>
      <c r="H27" s="126">
        <f>COUNTIFS('3구간'!$N$6:$N$502,"체국",'3구간'!$P$6:$P$502,"2")</f>
        <v>0</v>
      </c>
      <c r="I27" s="127" t="s">
        <v>4</v>
      </c>
      <c r="J27" s="128">
        <f>SUMIFS('3구간'!$E$6:$E$502,'3구간'!$N$6:$N$502,"체국",'3구간'!$P$6:$P$502,"2")</f>
        <v>0</v>
      </c>
      <c r="K27" s="126">
        <f>COUNTIF('3구간'!$N$6:$N$502,"체국")</f>
        <v>0</v>
      </c>
      <c r="L27" s="127" t="s">
        <v>4</v>
      </c>
      <c r="M27" s="128">
        <f>SUMIF('3구간'!$N$6:$N$502,"체국",'3구간'!$F$6:$F$502)</f>
        <v>0</v>
      </c>
      <c r="N27" s="126">
        <f>COUNTIFS('3구간'!$N$6:$N$502,"체공",'3구간'!$P$6:$P$502,"2")</f>
        <v>0</v>
      </c>
      <c r="O27" s="127" t="s">
        <v>4</v>
      </c>
      <c r="P27" s="128">
        <f>SUMIFS('3구간'!$E$6:$E$502,'3구간'!$N$6:$N$502,"체공",'3구간'!$P$6:$P$502,"2")</f>
        <v>0</v>
      </c>
      <c r="Q27" s="126">
        <f>COUNTIF('3구간'!$N$6:$N$502,"체공")</f>
        <v>0</v>
      </c>
      <c r="R27" s="127" t="s">
        <v>4</v>
      </c>
      <c r="S27" s="128">
        <f>SUMIF('3구간'!$N$6:$N$502,"체공",'3구간'!$F$6:$F$502)</f>
        <v>0</v>
      </c>
      <c r="T27" s="126">
        <f t="shared" si="0"/>
        <v>0</v>
      </c>
      <c r="U27" s="127" t="s">
        <v>4</v>
      </c>
      <c r="V27" s="128">
        <f t="shared" si="1"/>
        <v>0</v>
      </c>
      <c r="W27" s="126">
        <f t="shared" si="1"/>
        <v>0</v>
      </c>
      <c r="X27" s="127" t="s">
        <v>4</v>
      </c>
      <c r="Y27" s="128">
        <f t="shared" si="2"/>
        <v>0</v>
      </c>
      <c r="Z27" s="105"/>
      <c r="AA27" s="10"/>
      <c r="AB27" s="10"/>
      <c r="AC27" s="10"/>
      <c r="AD27" s="10"/>
      <c r="AE27" s="10"/>
      <c r="AF27" s="10"/>
      <c r="AG27" s="10"/>
      <c r="AH27" s="10"/>
    </row>
    <row r="28" spans="1:34" s="11" customFormat="1" ht="17.100000000000001" customHeight="1">
      <c r="A28" s="125" t="s">
        <v>26</v>
      </c>
      <c r="B28" s="126">
        <f>COUNTIFS('3구간'!$C$6:$C$502,"원",'3구간'!$P$6:$P$502,"2")</f>
        <v>0</v>
      </c>
      <c r="C28" s="127" t="s">
        <v>4</v>
      </c>
      <c r="D28" s="128">
        <f>SUMIFS('3구간'!$E$6:$E$502,'3구간'!$C$6:$C$502,"원",'3구간'!$P$6:$P$502,"2")</f>
        <v>0</v>
      </c>
      <c r="E28" s="126">
        <f>COUNTIF('3구간'!$C$6:$C$502,"원")</f>
        <v>0</v>
      </c>
      <c r="F28" s="127" t="s">
        <v>4</v>
      </c>
      <c r="G28" s="128">
        <f>SUMIF('3구간'!$C$6:$C$502,"원",'3구간'!$F$6:$F$502)</f>
        <v>0</v>
      </c>
      <c r="H28" s="126">
        <f>COUNTIFS('3구간'!$N$6:$N$502,"원국",'3구간'!$P$6:$P$502,"2")</f>
        <v>0</v>
      </c>
      <c r="I28" s="127" t="s">
        <v>4</v>
      </c>
      <c r="J28" s="128">
        <f>SUMIFS('3구간'!$E$6:$E$502,'3구간'!$N$6:$N$502,"원국",'3구간'!$P$6:$P$502,"2")</f>
        <v>0</v>
      </c>
      <c r="K28" s="126">
        <f>COUNTIF('3구간'!$N$6:$N$502,"원국")</f>
        <v>0</v>
      </c>
      <c r="L28" s="127" t="s">
        <v>4</v>
      </c>
      <c r="M28" s="128">
        <f>SUMIF('3구간'!$N$6:$N$502,"원국",'3구간'!$F$6:$F$502)</f>
        <v>0</v>
      </c>
      <c r="N28" s="126">
        <f>COUNTIFS('3구간'!$N$6:$N$502,"원공",'3구간'!$P$6:$P$502,"2")</f>
        <v>0</v>
      </c>
      <c r="O28" s="127" t="s">
        <v>4</v>
      </c>
      <c r="P28" s="128">
        <f>SUMIFS('3구간'!$E$6:$E$502,'3구간'!$N$6:$N$502,"원공",'3구간'!$P$6:$P$502,"2")</f>
        <v>0</v>
      </c>
      <c r="Q28" s="126">
        <f>COUNTIF('3구간'!$N$6:$N$502,"원공")</f>
        <v>0</v>
      </c>
      <c r="R28" s="127" t="s">
        <v>4</v>
      </c>
      <c r="S28" s="128">
        <f>SUMIF('3구간'!$N$6:$N$502,"원공",'3구간'!$F$6:$F$502)</f>
        <v>0</v>
      </c>
      <c r="T28" s="126">
        <f t="shared" si="0"/>
        <v>0</v>
      </c>
      <c r="U28" s="127" t="s">
        <v>4</v>
      </c>
      <c r="V28" s="128">
        <f t="shared" si="1"/>
        <v>0</v>
      </c>
      <c r="W28" s="126">
        <f t="shared" si="1"/>
        <v>0</v>
      </c>
      <c r="X28" s="127" t="s">
        <v>4</v>
      </c>
      <c r="Y28" s="128">
        <f t="shared" si="2"/>
        <v>0</v>
      </c>
      <c r="Z28" s="105"/>
      <c r="AA28" s="10"/>
      <c r="AB28" s="10"/>
      <c r="AC28" s="10"/>
      <c r="AD28" s="10"/>
      <c r="AE28" s="10"/>
      <c r="AF28" s="10"/>
      <c r="AG28" s="10"/>
      <c r="AH28" s="10"/>
    </row>
    <row r="29" spans="1:34" s="11" customFormat="1" ht="17.100000000000001" customHeight="1">
      <c r="A29" s="125" t="s">
        <v>43</v>
      </c>
      <c r="B29" s="126">
        <f>COUNTIFS('3구간'!$C$6:$C$502,"주",'3구간'!$P$6:$P$502,"2")</f>
        <v>0</v>
      </c>
      <c r="C29" s="127" t="s">
        <v>4</v>
      </c>
      <c r="D29" s="128">
        <f>SUMIFS('3구간'!$E$6:$E$502,'3구간'!$C$6:$C$502,"주",'3구간'!$P$6:$P$502,"2")</f>
        <v>0</v>
      </c>
      <c r="E29" s="126">
        <f>COUNTIF('3구간'!$C$6:$C$502,"주")</f>
        <v>0</v>
      </c>
      <c r="F29" s="127" t="s">
        <v>4</v>
      </c>
      <c r="G29" s="128">
        <f>SUMIF('3구간'!$C$6:$C$502,"주",'3구간'!$F$6:$F$502)</f>
        <v>0</v>
      </c>
      <c r="H29" s="126">
        <f>COUNTIFS('3구간'!$N$6:$N$502,"주국",'3구간'!$P$6:$P$502,"2")</f>
        <v>0</v>
      </c>
      <c r="I29" s="127" t="s">
        <v>4</v>
      </c>
      <c r="J29" s="128">
        <f>SUMIFS('3구간'!$E$6:$E$502,'3구간'!$N$6:$N$502,"주국",'3구간'!$P$6:$P$502,"2")</f>
        <v>0</v>
      </c>
      <c r="K29" s="126">
        <f>COUNTIF('3구간'!$N$6:$N$502,"주국")</f>
        <v>0</v>
      </c>
      <c r="L29" s="127" t="s">
        <v>4</v>
      </c>
      <c r="M29" s="128">
        <f>SUMIF('3구간'!$N$6:$N$502,"주국",'3구간'!$F$6:$F$502)</f>
        <v>0</v>
      </c>
      <c r="N29" s="126">
        <f>COUNTIFS('3구간'!$N$6:$N$502,"주공",'3구간'!$P$6:$P$502,"2")</f>
        <v>0</v>
      </c>
      <c r="O29" s="127" t="s">
        <v>4</v>
      </c>
      <c r="P29" s="128">
        <f>SUMIFS('3구간'!$E$6:$E$502,'3구간'!$N$6:$N$502,"주공",'3구간'!$P$6:$P$502,"2")</f>
        <v>0</v>
      </c>
      <c r="Q29" s="126">
        <f>COUNTIF('3구간'!$N$6:$N$502,"주공")</f>
        <v>0</v>
      </c>
      <c r="R29" s="127" t="s">
        <v>4</v>
      </c>
      <c r="S29" s="128">
        <f>SUMIF('3구간'!$N$6:$N$502,"주공",'3구간'!$F$6:$F$502)</f>
        <v>0</v>
      </c>
      <c r="T29" s="126">
        <f t="shared" si="0"/>
        <v>0</v>
      </c>
      <c r="U29" s="127" t="s">
        <v>4</v>
      </c>
      <c r="V29" s="128">
        <f t="shared" si="1"/>
        <v>0</v>
      </c>
      <c r="W29" s="126">
        <f t="shared" si="1"/>
        <v>0</v>
      </c>
      <c r="X29" s="127" t="s">
        <v>4</v>
      </c>
      <c r="Y29" s="128">
        <f t="shared" si="2"/>
        <v>0</v>
      </c>
      <c r="Z29" s="105"/>
      <c r="AA29" s="10"/>
      <c r="AB29" s="10"/>
      <c r="AC29" s="10"/>
      <c r="AD29" s="10"/>
      <c r="AE29" s="10"/>
      <c r="AF29" s="10"/>
      <c r="AG29" s="10"/>
      <c r="AH29" s="10"/>
    </row>
    <row r="30" spans="1:34" s="11" customFormat="1" ht="17.100000000000001" customHeight="1">
      <c r="A30" s="125" t="s">
        <v>0</v>
      </c>
      <c r="B30" s="126">
        <f>COUNTIFS('3구간'!$C$6:$C$502,"창",'3구간'!$P$6:$P$502,"2")</f>
        <v>0</v>
      </c>
      <c r="C30" s="127" t="s">
        <v>4</v>
      </c>
      <c r="D30" s="128">
        <f>SUMIFS('3구간'!$E$6:$E$502,'3구간'!$C$6:$C$502,"창",'3구간'!$P$6:$P$502,"2")</f>
        <v>0</v>
      </c>
      <c r="E30" s="126">
        <f>COUNTIF('3구간'!$C$6:$C$502,"창")</f>
        <v>0</v>
      </c>
      <c r="F30" s="127" t="s">
        <v>4</v>
      </c>
      <c r="G30" s="128">
        <f>SUMIF('3구간'!$C$6:$C$502,"창",'3구간'!$F$6:$F$502)</f>
        <v>0</v>
      </c>
      <c r="H30" s="126">
        <f>COUNTIFS('3구간'!$N$6:$N$502,"창국",'3구간'!$P$6:$P$502,"2")</f>
        <v>0</v>
      </c>
      <c r="I30" s="127" t="s">
        <v>4</v>
      </c>
      <c r="J30" s="128">
        <f>SUMIFS('3구간'!$E$6:$E$502,'3구간'!$N$6:$N$502,"창국",'3구간'!$P$6:$P$502,"2")</f>
        <v>0</v>
      </c>
      <c r="K30" s="126">
        <f>COUNTIF('3구간'!$N$6:$N$502,"창국")</f>
        <v>0</v>
      </c>
      <c r="L30" s="127" t="s">
        <v>4</v>
      </c>
      <c r="M30" s="128">
        <f>SUMIF('3구간'!$N$6:$N$502,"창국",'3구간'!$F$6:$F$502)</f>
        <v>0</v>
      </c>
      <c r="N30" s="126">
        <f>COUNTIFS('3구간'!$N$6:$N$502,"창공",'3구간'!$P$6:$P$502,"2")</f>
        <v>0</v>
      </c>
      <c r="O30" s="127" t="s">
        <v>4</v>
      </c>
      <c r="P30" s="128">
        <f>SUMIFS('3구간'!$E$6:$E$502,'3구간'!$N$6:$N$502,"창공",'3구간'!$P$6:$P$502,"2")</f>
        <v>0</v>
      </c>
      <c r="Q30" s="126">
        <f>COUNTIF('3구간'!$N$6:$N$502,"창공")</f>
        <v>0</v>
      </c>
      <c r="R30" s="127" t="s">
        <v>4</v>
      </c>
      <c r="S30" s="128">
        <f>SUMIF('3구간'!$N$6:$N$502,"창공",'3구간'!$F$6:$F$502)</f>
        <v>0</v>
      </c>
      <c r="T30" s="126">
        <f t="shared" si="0"/>
        <v>0</v>
      </c>
      <c r="U30" s="127" t="s">
        <v>4</v>
      </c>
      <c r="V30" s="128">
        <f t="shared" si="1"/>
        <v>0</v>
      </c>
      <c r="W30" s="126">
        <f t="shared" si="1"/>
        <v>0</v>
      </c>
      <c r="X30" s="127" t="s">
        <v>4</v>
      </c>
      <c r="Y30" s="128">
        <f t="shared" si="2"/>
        <v>0</v>
      </c>
      <c r="Z30" s="105"/>
      <c r="AA30" s="10"/>
      <c r="AB30" s="10"/>
      <c r="AC30" s="10"/>
      <c r="AD30" s="10"/>
      <c r="AE30" s="10"/>
      <c r="AF30" s="10"/>
      <c r="AG30" s="10"/>
      <c r="AH30" s="10"/>
    </row>
    <row r="31" spans="1:34" s="11" customFormat="1" ht="17.100000000000001" customHeight="1">
      <c r="A31" s="125" t="s">
        <v>42</v>
      </c>
      <c r="B31" s="126">
        <f>COUNTIFS('3구간'!$C$6:$C$502," ",'3구간'!$P$6:$P$502,"2")</f>
        <v>0</v>
      </c>
      <c r="C31" s="127" t="s">
        <v>4</v>
      </c>
      <c r="D31" s="128">
        <f>SUMIFS('3구간'!$E$6:$E$502,'3구간'!$C$6:$C$502," ",'3구간'!$P$6:$P$502,"2")</f>
        <v>0</v>
      </c>
      <c r="E31" s="126">
        <f>COUNTIF('3구간'!$C$6:$C$502," ")</f>
        <v>0</v>
      </c>
      <c r="F31" s="127" t="s">
        <v>4</v>
      </c>
      <c r="G31" s="128">
        <f>SUMIF('3구간'!$C$6:$C$502," ",'3구간'!$F$6:$F$502)</f>
        <v>0</v>
      </c>
      <c r="H31" s="126">
        <f>COUNTIFS('3구간'!$N$6:$N$502," ",'3구간'!$P$6:$P$502,"2")</f>
        <v>0</v>
      </c>
      <c r="I31" s="127" t="s">
        <v>4</v>
      </c>
      <c r="J31" s="128">
        <f>SUMIFS('3구간'!$E$6:$E$502,'3구간'!$N$6:$N$502," ",'3구간'!$P$6:$P$502,"2")</f>
        <v>0</v>
      </c>
      <c r="K31" s="126">
        <f>COUNTIF('3구간'!$N$6:$N$502," ")</f>
        <v>0</v>
      </c>
      <c r="L31" s="127" t="s">
        <v>4</v>
      </c>
      <c r="M31" s="128">
        <f>SUMIF('3구간'!$N$6:$N$502," ",'3구간'!$F$6:$F$502)</f>
        <v>0</v>
      </c>
      <c r="N31" s="126">
        <f>COUNTIFS('3구간'!$N$6:$N$502," ",'3구간'!$P$6:$P$502,"2")</f>
        <v>0</v>
      </c>
      <c r="O31" s="127" t="s">
        <v>4</v>
      </c>
      <c r="P31" s="128">
        <f>SUMIFS('3구간'!$E$6:$E$502,'3구간'!$N$6:$N$502," ",'3구간'!$P$6:$P$502,"2")</f>
        <v>0</v>
      </c>
      <c r="Q31" s="126">
        <f>COUNTIF('3구간'!$N$6:$N$502," ")</f>
        <v>0</v>
      </c>
      <c r="R31" s="127" t="s">
        <v>4</v>
      </c>
      <c r="S31" s="128">
        <f>SUMIF('3구간'!$N$6:$N$502," ",'3구간'!$F$6:$F$502)</f>
        <v>0</v>
      </c>
      <c r="T31" s="126">
        <f t="shared" si="0"/>
        <v>0</v>
      </c>
      <c r="U31" s="127" t="s">
        <v>4</v>
      </c>
      <c r="V31" s="128">
        <f t="shared" si="1"/>
        <v>0</v>
      </c>
      <c r="W31" s="126">
        <f t="shared" si="1"/>
        <v>0</v>
      </c>
      <c r="X31" s="127" t="s">
        <v>4</v>
      </c>
      <c r="Y31" s="128">
        <f t="shared" si="2"/>
        <v>0</v>
      </c>
      <c r="Z31" s="105"/>
      <c r="AA31" s="10"/>
      <c r="AB31" s="10"/>
      <c r="AC31" s="10"/>
      <c r="AD31" s="10"/>
      <c r="AE31" s="10"/>
      <c r="AF31" s="10"/>
      <c r="AG31" s="10"/>
      <c r="AH31" s="10"/>
    </row>
    <row r="32" spans="1:34" s="9" customFormat="1" ht="20.100000000000001" customHeight="1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20"/>
      <c r="U32" s="6"/>
      <c r="V32" s="7"/>
      <c r="W32" s="20"/>
      <c r="X32" s="6"/>
      <c r="Y32" s="7"/>
      <c r="Z32" s="8"/>
    </row>
    <row r="33" spans="1:34" s="9" customFormat="1" ht="31.5" customHeight="1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tr">
        <f>리명3!I2</f>
        <v>장화리</v>
      </c>
      <c r="U33" s="5"/>
      <c r="V33" s="5"/>
      <c r="W33" s="5">
        <f>리명3!L2</f>
        <v>0</v>
      </c>
      <c r="X33" s="5"/>
      <c r="Y33" s="5"/>
      <c r="Z33" s="5"/>
    </row>
    <row r="34" spans="1:34" s="11" customFormat="1" ht="20.100000000000001" customHeight="1">
      <c r="A34" s="424" t="s">
        <v>2</v>
      </c>
      <c r="B34" s="427"/>
      <c r="C34" s="427"/>
      <c r="D34" s="427"/>
      <c r="E34" s="427"/>
      <c r="F34" s="427"/>
      <c r="G34" s="427"/>
      <c r="H34" s="427"/>
      <c r="I34" s="427"/>
      <c r="J34" s="427"/>
      <c r="K34" s="427"/>
      <c r="L34" s="427"/>
      <c r="M34" s="427"/>
      <c r="N34" s="427"/>
      <c r="O34" s="427"/>
      <c r="P34" s="427"/>
      <c r="Q34" s="427"/>
      <c r="R34" s="427"/>
      <c r="S34" s="427"/>
      <c r="T34" s="427"/>
      <c r="U34" s="427"/>
      <c r="V34" s="427"/>
      <c r="W34" s="427"/>
      <c r="X34" s="427"/>
      <c r="Y34" s="427"/>
      <c r="Z34" s="428" t="s">
        <v>27</v>
      </c>
      <c r="AA34" s="10"/>
      <c r="AE34" s="10"/>
      <c r="AF34" s="10"/>
      <c r="AG34" s="10"/>
      <c r="AH34" s="10"/>
    </row>
    <row r="35" spans="1:34" s="11" customFormat="1" ht="20.100000000000001" customHeight="1">
      <c r="A35" s="425"/>
      <c r="B35" s="422" t="s">
        <v>44</v>
      </c>
      <c r="C35" s="423"/>
      <c r="D35" s="423"/>
      <c r="E35" s="422" t="s">
        <v>44</v>
      </c>
      <c r="F35" s="423"/>
      <c r="G35" s="423"/>
      <c r="H35" s="422" t="s">
        <v>44</v>
      </c>
      <c r="I35" s="423"/>
      <c r="J35" s="423"/>
      <c r="K35" s="422" t="s">
        <v>44</v>
      </c>
      <c r="L35" s="423"/>
      <c r="M35" s="423"/>
      <c r="N35" s="422" t="s">
        <v>44</v>
      </c>
      <c r="O35" s="423"/>
      <c r="P35" s="423"/>
      <c r="Q35" s="422" t="s">
        <v>44</v>
      </c>
      <c r="R35" s="423"/>
      <c r="S35" s="423"/>
      <c r="T35" s="422" t="s">
        <v>44</v>
      </c>
      <c r="U35" s="423"/>
      <c r="V35" s="423"/>
      <c r="W35" s="422" t="s">
        <v>44</v>
      </c>
      <c r="X35" s="423"/>
      <c r="Y35" s="423"/>
      <c r="Z35" s="429"/>
      <c r="AA35" s="10"/>
      <c r="AE35" s="10"/>
      <c r="AF35" s="10"/>
      <c r="AG35" s="10"/>
      <c r="AH35" s="10"/>
    </row>
    <row r="36" spans="1:34" s="11" customFormat="1" ht="20.100000000000001" customHeight="1">
      <c r="A36" s="426"/>
      <c r="B36" s="38" t="s">
        <v>3</v>
      </c>
      <c r="C36" s="36" t="s">
        <v>4</v>
      </c>
      <c r="D36" s="37" t="s">
        <v>45</v>
      </c>
      <c r="E36" s="38" t="s">
        <v>3</v>
      </c>
      <c r="F36" s="36" t="s">
        <v>4</v>
      </c>
      <c r="G36" s="37" t="s">
        <v>45</v>
      </c>
      <c r="H36" s="38" t="s">
        <v>3</v>
      </c>
      <c r="I36" s="36" t="s">
        <v>4</v>
      </c>
      <c r="J36" s="37" t="s">
        <v>45</v>
      </c>
      <c r="K36" s="38" t="s">
        <v>3</v>
      </c>
      <c r="L36" s="36" t="s">
        <v>4</v>
      </c>
      <c r="M36" s="37" t="s">
        <v>45</v>
      </c>
      <c r="N36" s="38" t="s">
        <v>3</v>
      </c>
      <c r="O36" s="36" t="s">
        <v>4</v>
      </c>
      <c r="P36" s="37" t="s">
        <v>45</v>
      </c>
      <c r="Q36" s="38" t="s">
        <v>3</v>
      </c>
      <c r="R36" s="36" t="s">
        <v>4</v>
      </c>
      <c r="S36" s="37" t="s">
        <v>45</v>
      </c>
      <c r="T36" s="38" t="s">
        <v>3</v>
      </c>
      <c r="U36" s="36" t="s">
        <v>4</v>
      </c>
      <c r="V36" s="37" t="s">
        <v>45</v>
      </c>
      <c r="W36" s="38" t="s">
        <v>3</v>
      </c>
      <c r="X36" s="36" t="s">
        <v>4</v>
      </c>
      <c r="Y36" s="37" t="s">
        <v>45</v>
      </c>
      <c r="Z36" s="430"/>
      <c r="AB36" s="10"/>
      <c r="AC36" s="12" t="s">
        <v>28</v>
      </c>
      <c r="AD36" s="12" t="s">
        <v>29</v>
      </c>
      <c r="AE36" s="12" t="s">
        <v>30</v>
      </c>
      <c r="AF36" s="12" t="s">
        <v>31</v>
      </c>
      <c r="AG36" s="10"/>
      <c r="AH36" s="10"/>
    </row>
    <row r="37" spans="1:34" s="11" customFormat="1" ht="17.100000000000001" customHeight="1">
      <c r="A37" s="21" t="s">
        <v>1</v>
      </c>
      <c r="B37" s="22">
        <f>SUM(B38:B62)</f>
        <v>0</v>
      </c>
      <c r="C37" s="23" t="s">
        <v>4</v>
      </c>
      <c r="D37" s="24">
        <f>SUM(D38:D62)</f>
        <v>0</v>
      </c>
      <c r="E37" s="22">
        <f>SUM(E38:E62)</f>
        <v>0</v>
      </c>
      <c r="F37" s="23" t="s">
        <v>4</v>
      </c>
      <c r="G37" s="24">
        <f>SUM(G38:G62)</f>
        <v>0</v>
      </c>
      <c r="H37" s="22">
        <f>SUM(H38:H62)</f>
        <v>0</v>
      </c>
      <c r="I37" s="23" t="s">
        <v>4</v>
      </c>
      <c r="J37" s="24">
        <f>SUM(J38:J62)</f>
        <v>0</v>
      </c>
      <c r="K37" s="22">
        <f>SUM(K38:K62)</f>
        <v>0</v>
      </c>
      <c r="L37" s="23" t="s">
        <v>4</v>
      </c>
      <c r="M37" s="24">
        <f>SUM(M38:M62)</f>
        <v>0</v>
      </c>
      <c r="N37" s="22">
        <f>SUM(N38:N62)</f>
        <v>0</v>
      </c>
      <c r="O37" s="23" t="s">
        <v>4</v>
      </c>
      <c r="P37" s="24">
        <f>SUM(P38:P62)</f>
        <v>0</v>
      </c>
      <c r="Q37" s="22">
        <f>SUM(Q38:Q62)</f>
        <v>0</v>
      </c>
      <c r="R37" s="23" t="s">
        <v>4</v>
      </c>
      <c r="S37" s="24">
        <f>SUM(S38:S62)</f>
        <v>0</v>
      </c>
      <c r="T37" s="22">
        <f>SUM(T38:T62)</f>
        <v>0</v>
      </c>
      <c r="U37" s="23" t="s">
        <v>4</v>
      </c>
      <c r="V37" s="24">
        <f>SUM(V38:V62)</f>
        <v>0</v>
      </c>
      <c r="W37" s="22">
        <f>SUM(W38:W62)</f>
        <v>0</v>
      </c>
      <c r="X37" s="23" t="s">
        <v>4</v>
      </c>
      <c r="Y37" s="24">
        <f>SUM(Y38:Y62)</f>
        <v>0</v>
      </c>
      <c r="Z37" s="39"/>
      <c r="AA37" s="10" t="str">
        <f>IF(EXACT(AC37,AF37),"맞음","틀림")</f>
        <v>맞음</v>
      </c>
      <c r="AB37" s="10" t="s">
        <v>3</v>
      </c>
      <c r="AC37" s="13">
        <f>SUM(B38:B62)</f>
        <v>0</v>
      </c>
      <c r="AD37" s="13">
        <f>SUM(H38:H62)</f>
        <v>0</v>
      </c>
      <c r="AE37" s="13">
        <f>SUM(T38:T62)</f>
        <v>0</v>
      </c>
      <c r="AF37" s="13">
        <f>T37+H37</f>
        <v>0</v>
      </c>
      <c r="AG37" s="10"/>
      <c r="AH37" s="10"/>
    </row>
    <row r="38" spans="1:34" s="11" customFormat="1" ht="17.100000000000001" customHeight="1">
      <c r="A38" s="25" t="s">
        <v>5</v>
      </c>
      <c r="B38" s="26">
        <f>COUNTIF(리명3!$C$6:$C$500,"전")</f>
        <v>0</v>
      </c>
      <c r="C38" s="27" t="s">
        <v>4</v>
      </c>
      <c r="D38" s="28">
        <f>SUMIF(리명3!$C$6:$C$500,"전",리명3!$E$6:$E$500)</f>
        <v>0</v>
      </c>
      <c r="E38" s="26">
        <f>COUNTIF(리명3!$C$6:$C$500,"전")</f>
        <v>0</v>
      </c>
      <c r="F38" s="27" t="s">
        <v>4</v>
      </c>
      <c r="G38" s="28">
        <f>SUMIF(리명3!$C$6:$C$500,"전",리명3!$E$6:$E$500)</f>
        <v>0</v>
      </c>
      <c r="H38" s="26">
        <f>COUNTIF(리명3!$M$6:$M$500,"전국")</f>
        <v>0</v>
      </c>
      <c r="I38" s="27" t="s">
        <v>4</v>
      </c>
      <c r="J38" s="28">
        <f>SUMIF(리명3!$M$6:$M$500,"전국",리명3!$E$6:$E$500)</f>
        <v>0</v>
      </c>
      <c r="K38" s="26">
        <f>COUNTIF(리명3!$M$6:$M$500,"전국")</f>
        <v>0</v>
      </c>
      <c r="L38" s="27" t="s">
        <v>4</v>
      </c>
      <c r="M38" s="28">
        <f>SUMIF(리명3!$M$6:$M$500,"전국",리명3!$E$6:$E$500)</f>
        <v>0</v>
      </c>
      <c r="N38" s="26">
        <f>COUNTIF(리명3!$M$6:$M$500,"전공")</f>
        <v>0</v>
      </c>
      <c r="O38" s="27" t="s">
        <v>4</v>
      </c>
      <c r="P38" s="28">
        <f>SUMIF(리명3!$M$6:$M$500,"전공",리명3!$E$6:$E$500)</f>
        <v>0</v>
      </c>
      <c r="Q38" s="26">
        <f>COUNTIF(리명3!$M$6:$M$500,"전공")</f>
        <v>0</v>
      </c>
      <c r="R38" s="27" t="s">
        <v>4</v>
      </c>
      <c r="S38" s="28">
        <f>SUMIF(리명3!$M$6:$M$500,"전공",리명3!$E$6:$E$500)</f>
        <v>0</v>
      </c>
      <c r="T38" s="26">
        <f t="shared" ref="T38:T62" si="3">B38-H38-N38</f>
        <v>0</v>
      </c>
      <c r="U38" s="27" t="s">
        <v>4</v>
      </c>
      <c r="V38" s="28">
        <f t="shared" ref="V38:W62" si="4">D38-J38-P38</f>
        <v>0</v>
      </c>
      <c r="W38" s="26">
        <f t="shared" si="4"/>
        <v>0</v>
      </c>
      <c r="X38" s="27" t="s">
        <v>4</v>
      </c>
      <c r="Y38" s="28">
        <f t="shared" ref="Y38:Y62" si="5">G38-M38-S38</f>
        <v>0</v>
      </c>
      <c r="Z38" s="40"/>
      <c r="AA38" s="10" t="str">
        <f>IF(EXACT(AC38,AF38),"맞음","틀림")</f>
        <v>맞음</v>
      </c>
      <c r="AB38" s="10" t="s">
        <v>32</v>
      </c>
      <c r="AC38" s="13">
        <f>SUM(D38:D62)</f>
        <v>0</v>
      </c>
      <c r="AD38" s="13">
        <f>SUM(J38:J62)</f>
        <v>0</v>
      </c>
      <c r="AE38" s="13">
        <f>SUM(V38:V62)</f>
        <v>0</v>
      </c>
      <c r="AF38" s="13">
        <f>J37+V37</f>
        <v>0</v>
      </c>
      <c r="AG38" s="10"/>
      <c r="AH38" s="10"/>
    </row>
    <row r="39" spans="1:34" s="11" customFormat="1" ht="17.100000000000001" customHeight="1">
      <c r="A39" s="25" t="s">
        <v>6</v>
      </c>
      <c r="B39" s="26">
        <f>COUNTIF(리명3!$C$6:$C$500,"답")</f>
        <v>0</v>
      </c>
      <c r="C39" s="27" t="s">
        <v>4</v>
      </c>
      <c r="D39" s="28">
        <f>SUMIF(리명3!$C$6:$C$500,"답",리명3!$E$6:$E$500)</f>
        <v>0</v>
      </c>
      <c r="E39" s="26">
        <f>COUNTIF(리명3!$C$6:$C$500,"답")</f>
        <v>0</v>
      </c>
      <c r="F39" s="27" t="s">
        <v>4</v>
      </c>
      <c r="G39" s="28">
        <f>SUMIF(리명3!$C$6:$C$500,"답",리명3!$E$6:$E$500)</f>
        <v>0</v>
      </c>
      <c r="H39" s="26">
        <f>COUNTIF(리명3!$M$6:$M$500,"답국")</f>
        <v>0</v>
      </c>
      <c r="I39" s="27" t="s">
        <v>4</v>
      </c>
      <c r="J39" s="28">
        <f>SUMIF(리명3!$M$6:$M$500,"답국",리명3!$E$6:$E$500)</f>
        <v>0</v>
      </c>
      <c r="K39" s="26">
        <f>COUNTIF(리명3!$M$6:$M$500,"답국")</f>
        <v>0</v>
      </c>
      <c r="L39" s="27" t="s">
        <v>4</v>
      </c>
      <c r="M39" s="28">
        <f>SUMIF(리명3!$M$6:$M$500,"답국",리명3!$E$6:$E$500)</f>
        <v>0</v>
      </c>
      <c r="N39" s="26">
        <f>COUNTIF(리명3!$M$6:$M$500,"답공")</f>
        <v>0</v>
      </c>
      <c r="O39" s="27" t="s">
        <v>4</v>
      </c>
      <c r="P39" s="28">
        <f>SUMIF(리명3!$M$6:$M$500,"답공",리명3!$E$6:$E$500)</f>
        <v>0</v>
      </c>
      <c r="Q39" s="26">
        <f>COUNTIF(리명3!$M$6:$M$500,"답공")</f>
        <v>0</v>
      </c>
      <c r="R39" s="27" t="s">
        <v>4</v>
      </c>
      <c r="S39" s="28">
        <f>SUMIF(리명3!$M$6:$M$500,"답공",리명3!$E$6:$E$500)</f>
        <v>0</v>
      </c>
      <c r="T39" s="26">
        <f t="shared" si="3"/>
        <v>0</v>
      </c>
      <c r="U39" s="27" t="s">
        <v>4</v>
      </c>
      <c r="V39" s="28">
        <f t="shared" si="4"/>
        <v>0</v>
      </c>
      <c r="W39" s="26">
        <f t="shared" si="4"/>
        <v>0</v>
      </c>
      <c r="X39" s="27" t="s">
        <v>4</v>
      </c>
      <c r="Y39" s="28">
        <f t="shared" si="5"/>
        <v>0</v>
      </c>
      <c r="Z39" s="40"/>
      <c r="AC39" s="10"/>
      <c r="AE39" s="10"/>
      <c r="AG39" s="10"/>
      <c r="AH39" s="10"/>
    </row>
    <row r="40" spans="1:34" s="11" customFormat="1" ht="17.100000000000001" customHeight="1">
      <c r="A40" s="29" t="s">
        <v>7</v>
      </c>
      <c r="B40" s="26">
        <f>COUNTIF(리명3!$C$6:$C$500,"임")</f>
        <v>0</v>
      </c>
      <c r="C40" s="27" t="s">
        <v>4</v>
      </c>
      <c r="D40" s="28">
        <f>SUMIF(리명3!$C$6:$C$500,"임",리명3!$E$6:$E$500)</f>
        <v>0</v>
      </c>
      <c r="E40" s="26">
        <f>COUNTIF(리명3!$C$6:$C$500,"임")</f>
        <v>0</v>
      </c>
      <c r="F40" s="27" t="s">
        <v>4</v>
      </c>
      <c r="G40" s="28">
        <f>SUMIF(리명3!$C$6:$C$500,"임",리명3!$E$6:$E$500)</f>
        <v>0</v>
      </c>
      <c r="H40" s="26">
        <f>COUNTIF(리명3!$M$6:$M$500,"임국")</f>
        <v>0</v>
      </c>
      <c r="I40" s="27" t="s">
        <v>4</v>
      </c>
      <c r="J40" s="28">
        <f>SUMIF(리명3!$M$6:$M$500,"임국",리명3!$E$6:$E$500)</f>
        <v>0</v>
      </c>
      <c r="K40" s="26">
        <f>COUNTIF(리명3!$M$6:$M$500,"임국")</f>
        <v>0</v>
      </c>
      <c r="L40" s="27" t="s">
        <v>4</v>
      </c>
      <c r="M40" s="28">
        <f>SUMIF(리명3!$M$6:$M$500,"임국",리명3!$E$6:$E$500)</f>
        <v>0</v>
      </c>
      <c r="N40" s="26">
        <f>COUNTIF(리명3!$M$6:$M$500,"임공")</f>
        <v>0</v>
      </c>
      <c r="O40" s="27" t="s">
        <v>4</v>
      </c>
      <c r="P40" s="28">
        <f>SUMIF(리명3!$M$6:$M$500,"임공",리명3!$E$6:$E$500)</f>
        <v>0</v>
      </c>
      <c r="Q40" s="26">
        <f>COUNTIF(리명3!$M$6:$M$500,"임공")</f>
        <v>0</v>
      </c>
      <c r="R40" s="27" t="s">
        <v>4</v>
      </c>
      <c r="S40" s="28">
        <f>SUMIF(리명3!$M$6:$M$500,"임공",리명3!$E$6:$E$500)</f>
        <v>0</v>
      </c>
      <c r="T40" s="26">
        <f t="shared" si="3"/>
        <v>0</v>
      </c>
      <c r="U40" s="27" t="s">
        <v>4</v>
      </c>
      <c r="V40" s="28">
        <f t="shared" si="4"/>
        <v>0</v>
      </c>
      <c r="W40" s="26">
        <f t="shared" si="4"/>
        <v>0</v>
      </c>
      <c r="X40" s="27" t="s">
        <v>4</v>
      </c>
      <c r="Y40" s="28">
        <f t="shared" si="5"/>
        <v>0</v>
      </c>
      <c r="Z40" s="40"/>
      <c r="AC40" s="10"/>
      <c r="AE40" s="10"/>
      <c r="AG40" s="10"/>
      <c r="AH40" s="10"/>
    </row>
    <row r="41" spans="1:34" s="11" customFormat="1" ht="17.100000000000001" customHeight="1">
      <c r="A41" s="25" t="s">
        <v>8</v>
      </c>
      <c r="B41" s="26">
        <f>COUNTIF(리명3!$C$6:$C$500,"대")</f>
        <v>0</v>
      </c>
      <c r="C41" s="27" t="s">
        <v>4</v>
      </c>
      <c r="D41" s="28">
        <f>SUMIF(리명3!$C$6:$C$500,"대",리명3!$E$6:$E$500)</f>
        <v>0</v>
      </c>
      <c r="E41" s="26">
        <f>COUNTIF(리명3!$C$6:$C$500,"대")</f>
        <v>0</v>
      </c>
      <c r="F41" s="27" t="s">
        <v>4</v>
      </c>
      <c r="G41" s="28">
        <f>SUMIF(리명3!$C$6:$C$500,"대",리명3!$E$6:$E$500)</f>
        <v>0</v>
      </c>
      <c r="H41" s="26">
        <f>COUNTIF(리명3!$M$6:$M$500,"대국")</f>
        <v>0</v>
      </c>
      <c r="I41" s="27" t="s">
        <v>4</v>
      </c>
      <c r="J41" s="28">
        <f>SUMIF(리명3!$M$6:$M$500,"대국",리명3!$E$6:$E$500)</f>
        <v>0</v>
      </c>
      <c r="K41" s="26">
        <f>COUNTIF(리명3!$M$6:$M$500,"대국")</f>
        <v>0</v>
      </c>
      <c r="L41" s="27" t="s">
        <v>4</v>
      </c>
      <c r="M41" s="28">
        <f>SUMIF(리명3!$M$6:$M$500,"대국",리명3!$E$6:$E$500)</f>
        <v>0</v>
      </c>
      <c r="N41" s="26">
        <f>COUNTIF(리명3!$M$6:$M$500,"대공")</f>
        <v>0</v>
      </c>
      <c r="O41" s="27" t="s">
        <v>4</v>
      </c>
      <c r="P41" s="28">
        <f>SUMIF(리명3!$M$6:$M$500,"대공",리명3!$E$6:$E$500)</f>
        <v>0</v>
      </c>
      <c r="Q41" s="26">
        <f>COUNTIF(리명3!$M$6:$M$500,"대공")</f>
        <v>0</v>
      </c>
      <c r="R41" s="27" t="s">
        <v>4</v>
      </c>
      <c r="S41" s="28">
        <f>SUMIF(리명3!$M$6:$M$500,"대공",리명3!$E$6:$E$500)</f>
        <v>0</v>
      </c>
      <c r="T41" s="26">
        <f t="shared" si="3"/>
        <v>0</v>
      </c>
      <c r="U41" s="27" t="s">
        <v>4</v>
      </c>
      <c r="V41" s="28">
        <f t="shared" si="4"/>
        <v>0</v>
      </c>
      <c r="W41" s="26">
        <f t="shared" si="4"/>
        <v>0</v>
      </c>
      <c r="X41" s="27" t="s">
        <v>4</v>
      </c>
      <c r="Y41" s="28">
        <f t="shared" si="5"/>
        <v>0</v>
      </c>
      <c r="Z41" s="40"/>
      <c r="AA41" s="10"/>
      <c r="AB41" s="10"/>
      <c r="AC41" s="10"/>
      <c r="AD41" s="10"/>
      <c r="AE41" s="10"/>
      <c r="AF41" s="10"/>
      <c r="AG41" s="10"/>
      <c r="AH41" s="10"/>
    </row>
    <row r="42" spans="1:34" s="11" customFormat="1" ht="17.100000000000001" customHeight="1">
      <c r="A42" s="25" t="s">
        <v>9</v>
      </c>
      <c r="B42" s="26">
        <f>COUNTIF(리명3!$C$6:$C$500,"도")</f>
        <v>0</v>
      </c>
      <c r="C42" s="27" t="s">
        <v>4</v>
      </c>
      <c r="D42" s="28">
        <f>SUMIF(리명3!$C$6:$C$500,"도",리명3!$E$6:$E$500)</f>
        <v>0</v>
      </c>
      <c r="E42" s="26">
        <f>COUNTIF(리명3!$C$6:$C$500,"도")</f>
        <v>0</v>
      </c>
      <c r="F42" s="27" t="s">
        <v>4</v>
      </c>
      <c r="G42" s="28">
        <f>SUMIF(리명3!$C$6:$C$500,"도",리명3!$E$6:$E$500)</f>
        <v>0</v>
      </c>
      <c r="H42" s="26">
        <f>COUNTIF(리명3!$M$6:$M$500,"도국")</f>
        <v>0</v>
      </c>
      <c r="I42" s="27" t="s">
        <v>4</v>
      </c>
      <c r="J42" s="28">
        <f>SUMIF(리명3!$M$6:$M$500,"도국",리명3!$E$6:$E$500)</f>
        <v>0</v>
      </c>
      <c r="K42" s="26">
        <f>COUNTIF(리명3!$M$6:$M$500,"도국")</f>
        <v>0</v>
      </c>
      <c r="L42" s="27" t="s">
        <v>4</v>
      </c>
      <c r="M42" s="28">
        <f>SUMIF(리명3!$M$6:$M$500,"도국",리명3!$E$6:$E$500)</f>
        <v>0</v>
      </c>
      <c r="N42" s="26">
        <f>COUNTIF(리명3!$M$6:$M$500,"도공")</f>
        <v>0</v>
      </c>
      <c r="O42" s="27" t="s">
        <v>4</v>
      </c>
      <c r="P42" s="28">
        <f>SUMIF(리명3!$M$6:$M$500,"도공",리명3!$E$6:$E$500)</f>
        <v>0</v>
      </c>
      <c r="Q42" s="26">
        <f>COUNTIF(리명3!$M$6:$M$500,"도공")</f>
        <v>0</v>
      </c>
      <c r="R42" s="27" t="s">
        <v>4</v>
      </c>
      <c r="S42" s="28">
        <f>SUMIF(리명3!$M$6:$M$500,"도공",리명3!$E$6:$E$500)</f>
        <v>0</v>
      </c>
      <c r="T42" s="26">
        <f t="shared" si="3"/>
        <v>0</v>
      </c>
      <c r="U42" s="27" t="s">
        <v>4</v>
      </c>
      <c r="V42" s="28">
        <f t="shared" si="4"/>
        <v>0</v>
      </c>
      <c r="W42" s="26">
        <f t="shared" si="4"/>
        <v>0</v>
      </c>
      <c r="X42" s="27" t="s">
        <v>4</v>
      </c>
      <c r="Y42" s="28">
        <f t="shared" si="5"/>
        <v>0</v>
      </c>
      <c r="Z42" s="40"/>
      <c r="AA42" s="10"/>
      <c r="AB42" s="10"/>
      <c r="AC42" s="10"/>
      <c r="AD42" s="10"/>
      <c r="AE42" s="10"/>
      <c r="AF42" s="10"/>
      <c r="AG42" s="10"/>
      <c r="AH42" s="10"/>
    </row>
    <row r="43" spans="1:34" s="11" customFormat="1" ht="17.100000000000001" customHeight="1">
      <c r="A43" s="25" t="s">
        <v>10</v>
      </c>
      <c r="B43" s="26">
        <f>COUNTIF(리명3!$C$6:$C$500,"구")</f>
        <v>0</v>
      </c>
      <c r="C43" s="27" t="s">
        <v>4</v>
      </c>
      <c r="D43" s="28">
        <f>SUMIF(리명3!$C$6:$C$500,"구",리명3!$E$6:$E$500)</f>
        <v>0</v>
      </c>
      <c r="E43" s="26">
        <f>COUNTIF(리명3!$C$6:$C$500,"구")</f>
        <v>0</v>
      </c>
      <c r="F43" s="27" t="s">
        <v>4</v>
      </c>
      <c r="G43" s="28">
        <f>SUMIF(리명3!$C$6:$C$500,"구",리명3!$E$6:$E$500)</f>
        <v>0</v>
      </c>
      <c r="H43" s="26">
        <f>COUNTIF(리명3!$M$6:$M$500,"구국")</f>
        <v>0</v>
      </c>
      <c r="I43" s="27" t="s">
        <v>4</v>
      </c>
      <c r="J43" s="28">
        <f>SUMIF(리명3!$M$6:$M$500,"구국",리명3!$E$6:$E$500)</f>
        <v>0</v>
      </c>
      <c r="K43" s="26">
        <f>COUNTIF(리명3!$M$6:$M$500,"구국")</f>
        <v>0</v>
      </c>
      <c r="L43" s="27" t="s">
        <v>4</v>
      </c>
      <c r="M43" s="28">
        <f>SUMIF(리명3!$M$6:$M$500,"구국",리명3!$E$6:$E$500)</f>
        <v>0</v>
      </c>
      <c r="N43" s="26">
        <f>COUNTIF(리명3!$M$6:$M$500,"구공")</f>
        <v>0</v>
      </c>
      <c r="O43" s="27" t="s">
        <v>4</v>
      </c>
      <c r="P43" s="28">
        <f>SUMIF(리명3!$M$6:$M$500,"구공",리명3!$E$6:$E$500)</f>
        <v>0</v>
      </c>
      <c r="Q43" s="26">
        <f>COUNTIF(리명3!$M$6:$M$500,"구공")</f>
        <v>0</v>
      </c>
      <c r="R43" s="27" t="s">
        <v>4</v>
      </c>
      <c r="S43" s="28">
        <f>SUMIF(리명3!$M$6:$M$500,"구공",리명3!$E$6:$E$500)</f>
        <v>0</v>
      </c>
      <c r="T43" s="26">
        <f t="shared" si="3"/>
        <v>0</v>
      </c>
      <c r="U43" s="27" t="s">
        <v>4</v>
      </c>
      <c r="V43" s="28">
        <f t="shared" si="4"/>
        <v>0</v>
      </c>
      <c r="W43" s="26">
        <f t="shared" si="4"/>
        <v>0</v>
      </c>
      <c r="X43" s="27" t="s">
        <v>4</v>
      </c>
      <c r="Y43" s="28">
        <f t="shared" si="5"/>
        <v>0</v>
      </c>
      <c r="Z43" s="40"/>
      <c r="AA43" s="10"/>
      <c r="AB43" s="10"/>
      <c r="AC43" s="10"/>
      <c r="AD43" s="10"/>
      <c r="AE43" s="10"/>
      <c r="AF43" s="10"/>
      <c r="AG43" s="10"/>
      <c r="AH43" s="10"/>
    </row>
    <row r="44" spans="1:34" s="11" customFormat="1" ht="17.100000000000001" customHeight="1">
      <c r="A44" s="25" t="s">
        <v>11</v>
      </c>
      <c r="B44" s="26">
        <f>COUNTIF(리명3!$C$6:$C$500,"천")</f>
        <v>0</v>
      </c>
      <c r="C44" s="27" t="s">
        <v>4</v>
      </c>
      <c r="D44" s="28">
        <f>SUMIF(리명3!$C$6:$C$500,"천",리명3!$E$6:$E$500)</f>
        <v>0</v>
      </c>
      <c r="E44" s="26">
        <f>COUNTIF(리명3!$C$6:$C$500,"천")</f>
        <v>0</v>
      </c>
      <c r="F44" s="27" t="s">
        <v>4</v>
      </c>
      <c r="G44" s="28">
        <f>SUMIF(리명3!$C$6:$C$500,"천",리명3!$E$6:$E$500)</f>
        <v>0</v>
      </c>
      <c r="H44" s="26">
        <f>COUNTIF(리명3!$M$6:$M$500,"천국")</f>
        <v>0</v>
      </c>
      <c r="I44" s="27" t="s">
        <v>4</v>
      </c>
      <c r="J44" s="28">
        <f>SUMIF(리명3!$M$6:$M$500,"천국",리명3!$E$6:$E$500)</f>
        <v>0</v>
      </c>
      <c r="K44" s="26">
        <f>COUNTIF(리명3!$M$6:$M$500,"천국")</f>
        <v>0</v>
      </c>
      <c r="L44" s="27" t="s">
        <v>4</v>
      </c>
      <c r="M44" s="28">
        <f>SUMIF(리명3!$M$6:$M$500,"천국",리명3!$E$6:$E$500)</f>
        <v>0</v>
      </c>
      <c r="N44" s="26">
        <f>COUNTIF(리명3!$M$6:$M$500,"천공")</f>
        <v>0</v>
      </c>
      <c r="O44" s="27" t="s">
        <v>4</v>
      </c>
      <c r="P44" s="28">
        <f>SUMIF(리명3!$M$6:$M$500,"천공",리명3!$E$6:$E$500)</f>
        <v>0</v>
      </c>
      <c r="Q44" s="26">
        <f>COUNTIF(리명3!$M$6:$M$500,"천공")</f>
        <v>0</v>
      </c>
      <c r="R44" s="27" t="s">
        <v>4</v>
      </c>
      <c r="S44" s="28">
        <f>SUMIF(리명3!$M$6:$M$500,"천공",리명3!$E$6:$E$500)</f>
        <v>0</v>
      </c>
      <c r="T44" s="26">
        <f t="shared" si="3"/>
        <v>0</v>
      </c>
      <c r="U44" s="27" t="s">
        <v>4</v>
      </c>
      <c r="V44" s="28">
        <f t="shared" si="4"/>
        <v>0</v>
      </c>
      <c r="W44" s="26">
        <f t="shared" si="4"/>
        <v>0</v>
      </c>
      <c r="X44" s="27" t="s">
        <v>4</v>
      </c>
      <c r="Y44" s="28">
        <f t="shared" si="5"/>
        <v>0</v>
      </c>
      <c r="Z44" s="40"/>
      <c r="AA44" s="10"/>
      <c r="AB44" s="10"/>
      <c r="AC44" s="10"/>
      <c r="AD44" s="10"/>
      <c r="AE44" s="10"/>
      <c r="AF44" s="10"/>
      <c r="AG44" s="10"/>
      <c r="AH44" s="10"/>
    </row>
    <row r="45" spans="1:34" s="11" customFormat="1" ht="17.100000000000001" customHeight="1">
      <c r="A45" s="25" t="s">
        <v>12</v>
      </c>
      <c r="B45" s="26">
        <f>COUNTIF(리명3!$C$6:$C$500,"유")</f>
        <v>0</v>
      </c>
      <c r="C45" s="27" t="s">
        <v>4</v>
      </c>
      <c r="D45" s="28">
        <f>SUMIF(리명3!$C$6:$C$500,"유",리명3!$E$6:$E$500)</f>
        <v>0</v>
      </c>
      <c r="E45" s="26">
        <f>COUNTIF(리명3!$C$6:$C$500,"유")</f>
        <v>0</v>
      </c>
      <c r="F45" s="27" t="s">
        <v>4</v>
      </c>
      <c r="G45" s="28">
        <f>SUMIF(리명3!$C$6:$C$500,"유",리명3!$E$6:$E$500)</f>
        <v>0</v>
      </c>
      <c r="H45" s="26">
        <f>COUNTIF(리명3!$M$6:$M$500,"유국")</f>
        <v>0</v>
      </c>
      <c r="I45" s="27" t="s">
        <v>4</v>
      </c>
      <c r="J45" s="28">
        <f>SUMIF(리명3!$M$6:$M$500,"유국",리명3!$E$6:$E$500)</f>
        <v>0</v>
      </c>
      <c r="K45" s="26">
        <f>COUNTIF(리명3!$M$6:$M$500,"유국")</f>
        <v>0</v>
      </c>
      <c r="L45" s="27" t="s">
        <v>4</v>
      </c>
      <c r="M45" s="28">
        <f>SUMIF(리명3!$M$6:$M$500,"유국",리명3!$E$6:$E$500)</f>
        <v>0</v>
      </c>
      <c r="N45" s="26">
        <f>COUNTIF(리명3!$M$6:$M$500,"유공")</f>
        <v>0</v>
      </c>
      <c r="O45" s="27" t="s">
        <v>4</v>
      </c>
      <c r="P45" s="28">
        <f>SUMIF(리명3!$M$6:$M$500,"유공",리명3!$E$6:$E$500)</f>
        <v>0</v>
      </c>
      <c r="Q45" s="26">
        <f>COUNTIF(리명3!$M$6:$M$500,"유공")</f>
        <v>0</v>
      </c>
      <c r="R45" s="27" t="s">
        <v>4</v>
      </c>
      <c r="S45" s="28">
        <f>SUMIF(리명3!$M$6:$M$500,"유공",리명3!$E$6:$E$500)</f>
        <v>0</v>
      </c>
      <c r="T45" s="26">
        <f t="shared" si="3"/>
        <v>0</v>
      </c>
      <c r="U45" s="27" t="s">
        <v>4</v>
      </c>
      <c r="V45" s="28">
        <f t="shared" si="4"/>
        <v>0</v>
      </c>
      <c r="W45" s="26">
        <f t="shared" si="4"/>
        <v>0</v>
      </c>
      <c r="X45" s="27" t="s">
        <v>4</v>
      </c>
      <c r="Y45" s="28">
        <f t="shared" si="5"/>
        <v>0</v>
      </c>
      <c r="Z45" s="40"/>
      <c r="AA45" s="10"/>
      <c r="AB45" s="10"/>
      <c r="AC45" s="10"/>
      <c r="AD45" s="10"/>
      <c r="AE45" s="10"/>
      <c r="AF45" s="10"/>
      <c r="AG45" s="10"/>
      <c r="AH45" s="10"/>
    </row>
    <row r="46" spans="1:34" s="11" customFormat="1" ht="17.100000000000001" customHeight="1">
      <c r="A46" s="25" t="s">
        <v>13</v>
      </c>
      <c r="B46" s="26">
        <f>COUNTIF(리명3!$C$6:$C$500,"제")</f>
        <v>0</v>
      </c>
      <c r="C46" s="27" t="s">
        <v>4</v>
      </c>
      <c r="D46" s="28">
        <f>SUMIF(리명3!$C$6:$C$500,"제",리명3!$E$6:$E$500)</f>
        <v>0</v>
      </c>
      <c r="E46" s="26">
        <f>COUNTIF(리명3!$C$6:$C$500,"제")</f>
        <v>0</v>
      </c>
      <c r="F46" s="27" t="s">
        <v>4</v>
      </c>
      <c r="G46" s="28">
        <f>SUMIF(리명3!$C$6:$C$500,"제",리명3!$E$6:$E$500)</f>
        <v>0</v>
      </c>
      <c r="H46" s="26">
        <f>COUNTIF(리명3!$M$6:$M$500,"제국")</f>
        <v>0</v>
      </c>
      <c r="I46" s="27" t="s">
        <v>4</v>
      </c>
      <c r="J46" s="28">
        <f>SUMIF(리명3!$M$6:$M$500,"제국",리명3!$E$6:$E$500)</f>
        <v>0</v>
      </c>
      <c r="K46" s="26">
        <f>COUNTIF(리명3!$M$6:$M$500,"제국")</f>
        <v>0</v>
      </c>
      <c r="L46" s="27" t="s">
        <v>4</v>
      </c>
      <c r="M46" s="28">
        <f>SUMIF(리명3!$M$6:$M$500,"제국",리명3!$E$6:$E$500)</f>
        <v>0</v>
      </c>
      <c r="N46" s="26">
        <f>COUNTIF(리명3!$M$6:$M$500,"제공")</f>
        <v>0</v>
      </c>
      <c r="O46" s="27" t="s">
        <v>4</v>
      </c>
      <c r="P46" s="28">
        <f>SUMIF(리명3!$M$6:$M$500,"제공",리명3!$E$6:$E$500)</f>
        <v>0</v>
      </c>
      <c r="Q46" s="26">
        <f>COUNTIF(리명3!$M$6:$M$500,"제공")</f>
        <v>0</v>
      </c>
      <c r="R46" s="27" t="s">
        <v>4</v>
      </c>
      <c r="S46" s="28">
        <f>SUMIF(리명3!$M$6:$M$500,"제공",리명3!$E$6:$E$500)</f>
        <v>0</v>
      </c>
      <c r="T46" s="26">
        <f t="shared" si="3"/>
        <v>0</v>
      </c>
      <c r="U46" s="27" t="s">
        <v>4</v>
      </c>
      <c r="V46" s="28">
        <f t="shared" si="4"/>
        <v>0</v>
      </c>
      <c r="W46" s="26">
        <f t="shared" si="4"/>
        <v>0</v>
      </c>
      <c r="X46" s="27" t="s">
        <v>4</v>
      </c>
      <c r="Y46" s="28">
        <f t="shared" si="5"/>
        <v>0</v>
      </c>
      <c r="Z46" s="40"/>
      <c r="AA46" s="10"/>
      <c r="AB46" s="10"/>
      <c r="AC46" s="10"/>
      <c r="AD46" s="10"/>
      <c r="AE46" s="10"/>
      <c r="AF46" s="10"/>
      <c r="AG46" s="10"/>
      <c r="AH46" s="10"/>
    </row>
    <row r="47" spans="1:34" s="11" customFormat="1" ht="17.100000000000001" customHeight="1">
      <c r="A47" s="25" t="s">
        <v>14</v>
      </c>
      <c r="B47" s="26">
        <f>COUNTIF(리명3!$C$6:$C$500,"과")</f>
        <v>0</v>
      </c>
      <c r="C47" s="27" t="s">
        <v>4</v>
      </c>
      <c r="D47" s="28">
        <f>SUMIF(리명3!$C$6:$C$500,"과",리명3!$E$6:$E$500)</f>
        <v>0</v>
      </c>
      <c r="E47" s="26">
        <f>COUNTIF(리명3!$C$6:$C$500,"과")</f>
        <v>0</v>
      </c>
      <c r="F47" s="27" t="s">
        <v>4</v>
      </c>
      <c r="G47" s="28">
        <f>SUMIF(리명3!$C$6:$C$500,"과",리명3!$E$6:$E$500)</f>
        <v>0</v>
      </c>
      <c r="H47" s="26">
        <f>COUNTIF(리명3!$M$6:$M$500,"과국")</f>
        <v>0</v>
      </c>
      <c r="I47" s="27" t="s">
        <v>4</v>
      </c>
      <c r="J47" s="28">
        <f>SUMIF(리명3!$M$6:$M$500,"과국",리명3!$E$6:$E$500)</f>
        <v>0</v>
      </c>
      <c r="K47" s="26">
        <f>COUNTIF(리명3!$M$6:$M$500,"과국")</f>
        <v>0</v>
      </c>
      <c r="L47" s="27" t="s">
        <v>4</v>
      </c>
      <c r="M47" s="28">
        <f>SUMIF(리명3!$M$6:$M$500,"과국",리명3!$E$6:$E$500)</f>
        <v>0</v>
      </c>
      <c r="N47" s="26">
        <f>COUNTIF(리명3!$M$6:$M$500,"과공")</f>
        <v>0</v>
      </c>
      <c r="O47" s="27" t="s">
        <v>4</v>
      </c>
      <c r="P47" s="28">
        <f>SUMIF(리명3!$M$6:$M$500,"과공",리명3!$E$6:$E$500)</f>
        <v>0</v>
      </c>
      <c r="Q47" s="26">
        <f>COUNTIF(리명3!$M$6:$M$500,"과공")</f>
        <v>0</v>
      </c>
      <c r="R47" s="27" t="s">
        <v>4</v>
      </c>
      <c r="S47" s="28">
        <f>SUMIF(리명3!$M$6:$M$500,"과공",리명3!$E$6:$E$500)</f>
        <v>0</v>
      </c>
      <c r="T47" s="26">
        <f t="shared" si="3"/>
        <v>0</v>
      </c>
      <c r="U47" s="27" t="s">
        <v>4</v>
      </c>
      <c r="V47" s="28">
        <f t="shared" si="4"/>
        <v>0</v>
      </c>
      <c r="W47" s="26">
        <f t="shared" si="4"/>
        <v>0</v>
      </c>
      <c r="X47" s="27" t="s">
        <v>4</v>
      </c>
      <c r="Y47" s="28">
        <f t="shared" si="5"/>
        <v>0</v>
      </c>
      <c r="Z47" s="40"/>
      <c r="AA47" s="10"/>
      <c r="AB47" s="10"/>
      <c r="AC47" s="10"/>
      <c r="AD47" s="10"/>
      <c r="AE47" s="10"/>
      <c r="AF47" s="10"/>
      <c r="AG47" s="10"/>
      <c r="AH47" s="10"/>
    </row>
    <row r="48" spans="1:34" s="11" customFormat="1" ht="17.100000000000001" customHeight="1">
      <c r="A48" s="25" t="s">
        <v>15</v>
      </c>
      <c r="B48" s="26">
        <f>COUNTIF(리명3!$C$6:$C$500,"장")</f>
        <v>0</v>
      </c>
      <c r="C48" s="27" t="s">
        <v>4</v>
      </c>
      <c r="D48" s="28">
        <f>SUMIF(리명3!$C$6:$C$500,"장",리명3!$E$6:$E$500)</f>
        <v>0</v>
      </c>
      <c r="E48" s="26">
        <f>COUNTIF(리명3!$C$6:$C$500,"장")</f>
        <v>0</v>
      </c>
      <c r="F48" s="27" t="s">
        <v>4</v>
      </c>
      <c r="G48" s="28">
        <f>SUMIF(리명3!$C$6:$C$500,"장",리명3!$E$6:$E$500)</f>
        <v>0</v>
      </c>
      <c r="H48" s="26">
        <f>COUNTIF(리명3!$M$6:$M$500,"장국")</f>
        <v>0</v>
      </c>
      <c r="I48" s="27" t="s">
        <v>4</v>
      </c>
      <c r="J48" s="28">
        <f>SUMIF(리명3!$M$6:$M$500,"장국",리명3!$E$6:$E$500)</f>
        <v>0</v>
      </c>
      <c r="K48" s="26">
        <f>COUNTIF(리명3!$M$6:$M$500,"장국")</f>
        <v>0</v>
      </c>
      <c r="L48" s="27" t="s">
        <v>4</v>
      </c>
      <c r="M48" s="28">
        <f>SUMIF(리명3!$M$6:$M$500,"장국",리명3!$E$6:$E$500)</f>
        <v>0</v>
      </c>
      <c r="N48" s="26">
        <f>COUNTIF(리명3!$M$6:$M$500,"장공")</f>
        <v>0</v>
      </c>
      <c r="O48" s="27" t="s">
        <v>4</v>
      </c>
      <c r="P48" s="28">
        <f>SUMIF(리명3!$M$6:$M$500,"장공",리명3!$E$6:$E$500)</f>
        <v>0</v>
      </c>
      <c r="Q48" s="26">
        <f>COUNTIF(리명3!$M$6:$M$500,"장공")</f>
        <v>0</v>
      </c>
      <c r="R48" s="27" t="s">
        <v>4</v>
      </c>
      <c r="S48" s="28">
        <f>SUMIF(리명3!$M$6:$M$500,"장공",리명3!$E$6:$E$500)</f>
        <v>0</v>
      </c>
      <c r="T48" s="26">
        <f t="shared" si="3"/>
        <v>0</v>
      </c>
      <c r="U48" s="27" t="s">
        <v>4</v>
      </c>
      <c r="V48" s="28">
        <f t="shared" si="4"/>
        <v>0</v>
      </c>
      <c r="W48" s="26">
        <f t="shared" si="4"/>
        <v>0</v>
      </c>
      <c r="X48" s="27" t="s">
        <v>4</v>
      </c>
      <c r="Y48" s="28">
        <f t="shared" si="5"/>
        <v>0</v>
      </c>
      <c r="Z48" s="40"/>
      <c r="AA48" s="10"/>
      <c r="AB48" s="10"/>
      <c r="AC48" s="10"/>
      <c r="AD48" s="10"/>
      <c r="AE48" s="10"/>
      <c r="AF48" s="10"/>
      <c r="AG48" s="10"/>
      <c r="AH48" s="10"/>
    </row>
    <row r="49" spans="1:34" s="11" customFormat="1" ht="17.100000000000001" customHeight="1">
      <c r="A49" s="25" t="s">
        <v>16</v>
      </c>
      <c r="B49" s="26">
        <f>COUNTIF(리명3!$C$6:$C$500,"목")</f>
        <v>0</v>
      </c>
      <c r="C49" s="27" t="s">
        <v>4</v>
      </c>
      <c r="D49" s="28">
        <f>SUMIF(리명3!$C$6:$C$500,"목",리명3!$E$6:$E$500)</f>
        <v>0</v>
      </c>
      <c r="E49" s="26">
        <f>COUNTIF(리명3!$C$6:$C$500,"목")</f>
        <v>0</v>
      </c>
      <c r="F49" s="27" t="s">
        <v>4</v>
      </c>
      <c r="G49" s="28">
        <f>SUMIF(리명3!$C$6:$C$500,"목",리명3!$E$6:$E$500)</f>
        <v>0</v>
      </c>
      <c r="H49" s="26">
        <f>COUNTIF(리명3!$M$6:$M$500,"목국")</f>
        <v>0</v>
      </c>
      <c r="I49" s="27" t="s">
        <v>4</v>
      </c>
      <c r="J49" s="28">
        <f>SUMIF(리명3!$M$6:$M$500,"목국",리명3!$E$6:$E$500)</f>
        <v>0</v>
      </c>
      <c r="K49" s="26">
        <f>COUNTIF(리명3!$M$6:$M$500,"목국")</f>
        <v>0</v>
      </c>
      <c r="L49" s="27" t="s">
        <v>4</v>
      </c>
      <c r="M49" s="28">
        <f>SUMIF(리명3!$M$6:$M$500,"목국",리명3!$E$6:$E$500)</f>
        <v>0</v>
      </c>
      <c r="N49" s="26">
        <f>COUNTIF(리명3!$M$6:$M$500,"목공")</f>
        <v>0</v>
      </c>
      <c r="O49" s="27" t="s">
        <v>4</v>
      </c>
      <c r="P49" s="28">
        <f>SUMIF(리명3!$M$6:$M$500,"목공",리명3!$E$6:$E$500)</f>
        <v>0</v>
      </c>
      <c r="Q49" s="26">
        <f>COUNTIF(리명3!$M$6:$M$500,"목공")</f>
        <v>0</v>
      </c>
      <c r="R49" s="27" t="s">
        <v>4</v>
      </c>
      <c r="S49" s="28">
        <f>SUMIF(리명3!$M$6:$M$500,"목공",리명3!$E$6:$E$500)</f>
        <v>0</v>
      </c>
      <c r="T49" s="26">
        <f t="shared" si="3"/>
        <v>0</v>
      </c>
      <c r="U49" s="27" t="s">
        <v>4</v>
      </c>
      <c r="V49" s="28">
        <f t="shared" si="4"/>
        <v>0</v>
      </c>
      <c r="W49" s="26">
        <f t="shared" si="4"/>
        <v>0</v>
      </c>
      <c r="X49" s="27" t="s">
        <v>4</v>
      </c>
      <c r="Y49" s="28">
        <f t="shared" si="5"/>
        <v>0</v>
      </c>
      <c r="Z49" s="40"/>
      <c r="AA49" s="10"/>
      <c r="AB49" s="10"/>
      <c r="AC49" s="10"/>
      <c r="AD49" s="10"/>
      <c r="AE49" s="10"/>
      <c r="AF49" s="10"/>
      <c r="AG49" s="10"/>
      <c r="AH49" s="10"/>
    </row>
    <row r="50" spans="1:34" s="11" customFormat="1" ht="17.100000000000001" customHeight="1">
      <c r="A50" s="25" t="s">
        <v>17</v>
      </c>
      <c r="B50" s="26">
        <f>COUNTIF(리명3!$C$6:$C$500,"학")</f>
        <v>0</v>
      </c>
      <c r="C50" s="27" t="s">
        <v>4</v>
      </c>
      <c r="D50" s="28">
        <f>SUMIF(리명3!$C$6:$C$500,"학",리명3!$E$6:$E$500)</f>
        <v>0</v>
      </c>
      <c r="E50" s="26">
        <f>COUNTIF(리명3!$C$6:$C$500,"학")</f>
        <v>0</v>
      </c>
      <c r="F50" s="27" t="s">
        <v>4</v>
      </c>
      <c r="G50" s="28">
        <f>SUMIF(리명3!$C$6:$C$500,"학",리명3!$E$6:$E$500)</f>
        <v>0</v>
      </c>
      <c r="H50" s="26">
        <f>COUNTIF(리명3!$M$6:$M$500,"학국")</f>
        <v>0</v>
      </c>
      <c r="I50" s="27" t="s">
        <v>4</v>
      </c>
      <c r="J50" s="28">
        <f>SUMIF(리명3!$M$6:$M$500,"학국",리명3!$E$6:$E$500)</f>
        <v>0</v>
      </c>
      <c r="K50" s="26">
        <f>COUNTIF(리명3!$M$6:$M$500,"학국")</f>
        <v>0</v>
      </c>
      <c r="L50" s="27" t="s">
        <v>4</v>
      </c>
      <c r="M50" s="28">
        <f>SUMIF(리명3!$M$6:$M$500,"학국",리명3!$E$6:$E$500)</f>
        <v>0</v>
      </c>
      <c r="N50" s="26">
        <f>COUNTIF(리명3!$M$6:$M$500,"학공")</f>
        <v>0</v>
      </c>
      <c r="O50" s="27" t="s">
        <v>4</v>
      </c>
      <c r="P50" s="28">
        <f>SUMIF(리명3!$M$6:$M$500,"학공",리명3!$E$6:$E$500)</f>
        <v>0</v>
      </c>
      <c r="Q50" s="26">
        <f>COUNTIF(리명3!$M$6:$M$500,"학공")</f>
        <v>0</v>
      </c>
      <c r="R50" s="27" t="s">
        <v>4</v>
      </c>
      <c r="S50" s="28">
        <f>SUMIF(리명3!$M$6:$M$500,"학공",리명3!$E$6:$E$500)</f>
        <v>0</v>
      </c>
      <c r="T50" s="26">
        <f t="shared" si="3"/>
        <v>0</v>
      </c>
      <c r="U50" s="27" t="s">
        <v>4</v>
      </c>
      <c r="V50" s="28">
        <f t="shared" si="4"/>
        <v>0</v>
      </c>
      <c r="W50" s="26">
        <f t="shared" si="4"/>
        <v>0</v>
      </c>
      <c r="X50" s="27" t="s">
        <v>4</v>
      </c>
      <c r="Y50" s="28">
        <f t="shared" si="5"/>
        <v>0</v>
      </c>
      <c r="Z50" s="40"/>
      <c r="AA50" s="10"/>
      <c r="AB50" s="10"/>
      <c r="AC50" s="10"/>
      <c r="AD50" s="10"/>
      <c r="AE50" s="10"/>
      <c r="AF50" s="10"/>
      <c r="AG50" s="10"/>
      <c r="AH50" s="10"/>
    </row>
    <row r="51" spans="1:34" s="11" customFormat="1" ht="17.100000000000001" customHeight="1">
      <c r="A51" s="25" t="s">
        <v>18</v>
      </c>
      <c r="B51" s="26">
        <f>COUNTIF(리명3!$C$6:$C$500,"철")</f>
        <v>0</v>
      </c>
      <c r="C51" s="27" t="s">
        <v>4</v>
      </c>
      <c r="D51" s="28">
        <f>SUMIF(리명3!$C$6:$C$500,"철",리명3!$E$6:$E$500)</f>
        <v>0</v>
      </c>
      <c r="E51" s="26">
        <f>COUNTIF(리명3!$C$6:$C$500,"철")</f>
        <v>0</v>
      </c>
      <c r="F51" s="27" t="s">
        <v>4</v>
      </c>
      <c r="G51" s="28">
        <f>SUMIF(리명3!$C$6:$C$500,"철",리명3!$E$6:$E$500)</f>
        <v>0</v>
      </c>
      <c r="H51" s="26">
        <f>COUNTIF(리명3!$M$6:$M$500,"철국")</f>
        <v>0</v>
      </c>
      <c r="I51" s="27" t="s">
        <v>4</v>
      </c>
      <c r="J51" s="28">
        <f>SUMIF(리명3!$M$6:$M$500,"철국",리명3!$E$6:$E$500)</f>
        <v>0</v>
      </c>
      <c r="K51" s="26">
        <f>COUNTIF(리명3!$M$6:$M$500,"철국")</f>
        <v>0</v>
      </c>
      <c r="L51" s="27" t="s">
        <v>4</v>
      </c>
      <c r="M51" s="28">
        <f>SUMIF(리명3!$M$6:$M$500,"철국",리명3!$E$6:$E$500)</f>
        <v>0</v>
      </c>
      <c r="N51" s="26">
        <f>COUNTIF(리명3!$M$6:$M$500,"철공")</f>
        <v>0</v>
      </c>
      <c r="O51" s="27" t="s">
        <v>4</v>
      </c>
      <c r="P51" s="28">
        <f>SUMIF(리명3!$M$6:$M$500,"철공",리명3!$E$6:$E$500)</f>
        <v>0</v>
      </c>
      <c r="Q51" s="26">
        <f>COUNTIF(리명3!$M$6:$M$500,"철공")</f>
        <v>0</v>
      </c>
      <c r="R51" s="27" t="s">
        <v>4</v>
      </c>
      <c r="S51" s="28">
        <f>SUMIF(리명3!$M$6:$M$500,"철공",리명3!$E$6:$E$500)</f>
        <v>0</v>
      </c>
      <c r="T51" s="26">
        <f t="shared" si="3"/>
        <v>0</v>
      </c>
      <c r="U51" s="27" t="s">
        <v>4</v>
      </c>
      <c r="V51" s="28">
        <f t="shared" si="4"/>
        <v>0</v>
      </c>
      <c r="W51" s="26">
        <f t="shared" si="4"/>
        <v>0</v>
      </c>
      <c r="X51" s="27" t="s">
        <v>4</v>
      </c>
      <c r="Y51" s="28">
        <f t="shared" si="5"/>
        <v>0</v>
      </c>
      <c r="Z51" s="40"/>
      <c r="AA51" s="10"/>
      <c r="AB51" s="10"/>
      <c r="AC51" s="10"/>
      <c r="AD51" s="10"/>
      <c r="AE51" s="10"/>
      <c r="AF51" s="10"/>
      <c r="AG51" s="10"/>
      <c r="AH51" s="10"/>
    </row>
    <row r="52" spans="1:34" s="11" customFormat="1" ht="17.100000000000001" customHeight="1">
      <c r="A52" s="25" t="s">
        <v>19</v>
      </c>
      <c r="B52" s="26">
        <f>COUNTIF(리명3!$C$6:$C$500,"묘")</f>
        <v>0</v>
      </c>
      <c r="C52" s="27" t="s">
        <v>4</v>
      </c>
      <c r="D52" s="28">
        <f>SUMIF(리명3!$C$6:$C$500,"묘",리명3!$E$6:$E$500)</f>
        <v>0</v>
      </c>
      <c r="E52" s="26">
        <f>COUNTIF(리명3!$C$6:$C$500,"묘")</f>
        <v>0</v>
      </c>
      <c r="F52" s="27" t="s">
        <v>4</v>
      </c>
      <c r="G52" s="28">
        <f>SUMIF(리명3!$C$6:$C$500,"묘",리명3!$E$6:$E$500)</f>
        <v>0</v>
      </c>
      <c r="H52" s="26">
        <f>COUNTIF(리명3!$M$6:$M$500,"묘국")</f>
        <v>0</v>
      </c>
      <c r="I52" s="27" t="s">
        <v>4</v>
      </c>
      <c r="J52" s="28">
        <f>SUMIF(리명3!$M$6:$M$500,"묘국",리명3!$E$6:$E$500)</f>
        <v>0</v>
      </c>
      <c r="K52" s="26">
        <f>COUNTIF(리명3!$M$6:$M$500,"묘국")</f>
        <v>0</v>
      </c>
      <c r="L52" s="27" t="s">
        <v>4</v>
      </c>
      <c r="M52" s="28">
        <f>SUMIF(리명3!$M$6:$M$500,"묘국",리명3!$E$6:$E$500)</f>
        <v>0</v>
      </c>
      <c r="N52" s="26">
        <f>COUNTIF(리명3!$M$6:$M$500,"묘공")</f>
        <v>0</v>
      </c>
      <c r="O52" s="27" t="s">
        <v>4</v>
      </c>
      <c r="P52" s="28">
        <f>SUMIF(리명3!$M$6:$M$500,"묘공",리명3!$E$6:$E$500)</f>
        <v>0</v>
      </c>
      <c r="Q52" s="26">
        <f>COUNTIF(리명3!$M$6:$M$500,"묘공")</f>
        <v>0</v>
      </c>
      <c r="R52" s="27" t="s">
        <v>4</v>
      </c>
      <c r="S52" s="28">
        <f>SUMIF(리명3!$M$6:$M$500,"묘공",리명3!$E$6:$E$500)</f>
        <v>0</v>
      </c>
      <c r="T52" s="26">
        <f t="shared" si="3"/>
        <v>0</v>
      </c>
      <c r="U52" s="27" t="s">
        <v>4</v>
      </c>
      <c r="V52" s="28">
        <f t="shared" si="4"/>
        <v>0</v>
      </c>
      <c r="W52" s="26">
        <f t="shared" si="4"/>
        <v>0</v>
      </c>
      <c r="X52" s="27" t="s">
        <v>4</v>
      </c>
      <c r="Y52" s="28">
        <f t="shared" si="5"/>
        <v>0</v>
      </c>
      <c r="Z52" s="40"/>
      <c r="AA52" s="10"/>
      <c r="AB52" s="10"/>
      <c r="AC52" s="10"/>
      <c r="AD52" s="10"/>
      <c r="AE52" s="10"/>
      <c r="AF52" s="10"/>
      <c r="AG52" s="10"/>
      <c r="AH52" s="10"/>
    </row>
    <row r="53" spans="1:34" s="11" customFormat="1" ht="17.100000000000001" customHeight="1">
      <c r="A53" s="25" t="s">
        <v>20</v>
      </c>
      <c r="B53" s="26">
        <f>COUNTIF(리명3!$C$6:$C$500,"수")</f>
        <v>0</v>
      </c>
      <c r="C53" s="27" t="s">
        <v>4</v>
      </c>
      <c r="D53" s="28">
        <f>SUMIF(리명3!$C$6:$C$500,"수",리명3!$E$6:$E$500)</f>
        <v>0</v>
      </c>
      <c r="E53" s="26">
        <f>COUNTIF(리명3!$C$6:$C$500,"수")</f>
        <v>0</v>
      </c>
      <c r="F53" s="27" t="s">
        <v>4</v>
      </c>
      <c r="G53" s="28">
        <f>SUMIF(리명3!$C$6:$C$500,"수",리명3!$E$6:$E$500)</f>
        <v>0</v>
      </c>
      <c r="H53" s="26">
        <f>COUNTIF(리명3!$M$6:$M$500,"수국")</f>
        <v>0</v>
      </c>
      <c r="I53" s="27" t="s">
        <v>4</v>
      </c>
      <c r="J53" s="28">
        <f>SUMIF(리명3!$M$6:$M$500,"수국",리명3!$E$6:$E$500)</f>
        <v>0</v>
      </c>
      <c r="K53" s="26">
        <f>COUNTIF(리명3!$M$6:$M$500,"수국")</f>
        <v>0</v>
      </c>
      <c r="L53" s="27" t="s">
        <v>4</v>
      </c>
      <c r="M53" s="28">
        <f>SUMIF(리명3!$M$6:$M$500,"수국",리명3!$E$6:$E$500)</f>
        <v>0</v>
      </c>
      <c r="N53" s="26">
        <f>COUNTIF(리명3!$M$6:$M$500,"수공")</f>
        <v>0</v>
      </c>
      <c r="O53" s="27" t="s">
        <v>4</v>
      </c>
      <c r="P53" s="28">
        <f>SUMIF(리명3!$M$6:$M$500,"수공",리명3!$E$6:$E$500)</f>
        <v>0</v>
      </c>
      <c r="Q53" s="26">
        <f>COUNTIF(리명3!$M$6:$M$500,"수공")</f>
        <v>0</v>
      </c>
      <c r="R53" s="27" t="s">
        <v>4</v>
      </c>
      <c r="S53" s="28">
        <f>SUMIF(리명3!$M$6:$M$500,"수공",리명3!$E$6:$E$500)</f>
        <v>0</v>
      </c>
      <c r="T53" s="26">
        <f t="shared" si="3"/>
        <v>0</v>
      </c>
      <c r="U53" s="27" t="s">
        <v>4</v>
      </c>
      <c r="V53" s="28">
        <f t="shared" si="4"/>
        <v>0</v>
      </c>
      <c r="W53" s="26">
        <f t="shared" si="4"/>
        <v>0</v>
      </c>
      <c r="X53" s="27" t="s">
        <v>4</v>
      </c>
      <c r="Y53" s="28">
        <f t="shared" si="5"/>
        <v>0</v>
      </c>
      <c r="Z53" s="40"/>
      <c r="AA53" s="10"/>
      <c r="AB53" s="10"/>
      <c r="AC53" s="10"/>
      <c r="AD53" s="10"/>
      <c r="AE53" s="10"/>
      <c r="AF53" s="10"/>
      <c r="AG53" s="10"/>
      <c r="AH53" s="10"/>
    </row>
    <row r="54" spans="1:34" s="11" customFormat="1" ht="17.100000000000001" customHeight="1">
      <c r="A54" s="25" t="s">
        <v>21</v>
      </c>
      <c r="B54" s="26">
        <f>COUNTIF(리명3!$C$6:$C$500,"잡")</f>
        <v>0</v>
      </c>
      <c r="C54" s="27" t="s">
        <v>4</v>
      </c>
      <c r="D54" s="28">
        <f>SUMIF(리명3!$C$6:$C$500,"잡",리명3!$E$6:$E$500)</f>
        <v>0</v>
      </c>
      <c r="E54" s="26">
        <f>COUNTIF(리명3!$C$6:$C$500,"잡")</f>
        <v>0</v>
      </c>
      <c r="F54" s="27" t="s">
        <v>4</v>
      </c>
      <c r="G54" s="28">
        <f>SUMIF(리명3!$C$6:$C$500,"잡",리명3!$E$6:$E$500)</f>
        <v>0</v>
      </c>
      <c r="H54" s="26">
        <f>COUNTIF(리명3!$M$6:$M$500,"잡국")</f>
        <v>0</v>
      </c>
      <c r="I54" s="27" t="s">
        <v>4</v>
      </c>
      <c r="J54" s="28">
        <f>SUMIF(리명3!$M$6:$M$500,"잡국",리명3!$E$6:$E$500)</f>
        <v>0</v>
      </c>
      <c r="K54" s="26">
        <f>COUNTIF(리명3!$M$6:$M$500,"잡국")</f>
        <v>0</v>
      </c>
      <c r="L54" s="27" t="s">
        <v>4</v>
      </c>
      <c r="M54" s="28">
        <f>SUMIF(리명3!$M$6:$M$500,"잡국",리명3!$E$6:$E$500)</f>
        <v>0</v>
      </c>
      <c r="N54" s="26">
        <f>COUNTIF(리명3!$M$6:$M$500,"잡공")</f>
        <v>0</v>
      </c>
      <c r="O54" s="27" t="s">
        <v>4</v>
      </c>
      <c r="P54" s="28">
        <f>SUMIF(리명3!$M$6:$M$500,"잡공",리명3!$E$6:$E$500)</f>
        <v>0</v>
      </c>
      <c r="Q54" s="26">
        <f>COUNTIF(리명3!$M$6:$M$500,"잡공")</f>
        <v>0</v>
      </c>
      <c r="R54" s="27" t="s">
        <v>4</v>
      </c>
      <c r="S54" s="28">
        <f>SUMIF(리명3!$M$6:$M$500,"잡공",리명3!$E$6:$E$500)</f>
        <v>0</v>
      </c>
      <c r="T54" s="26">
        <f t="shared" si="3"/>
        <v>0</v>
      </c>
      <c r="U54" s="27" t="s">
        <v>4</v>
      </c>
      <c r="V54" s="28">
        <f t="shared" si="4"/>
        <v>0</v>
      </c>
      <c r="W54" s="26">
        <f t="shared" si="4"/>
        <v>0</v>
      </c>
      <c r="X54" s="27" t="s">
        <v>4</v>
      </c>
      <c r="Y54" s="28">
        <f t="shared" si="5"/>
        <v>0</v>
      </c>
      <c r="Z54" s="40"/>
      <c r="AA54" s="10"/>
      <c r="AB54" s="10"/>
      <c r="AC54" s="10"/>
      <c r="AD54" s="10"/>
      <c r="AE54" s="10"/>
      <c r="AF54" s="10"/>
      <c r="AG54" s="10"/>
      <c r="AH54" s="10"/>
    </row>
    <row r="55" spans="1:34" s="11" customFormat="1" ht="17.100000000000001" customHeight="1">
      <c r="A55" s="25" t="s">
        <v>22</v>
      </c>
      <c r="B55" s="26">
        <f>COUNTIF(리명3!$C$6:$C$500,"종")</f>
        <v>0</v>
      </c>
      <c r="C55" s="27" t="s">
        <v>4</v>
      </c>
      <c r="D55" s="28">
        <f>SUMIF(리명3!$C$6:$C$500,"종",리명3!$E$6:$E$500)</f>
        <v>0</v>
      </c>
      <c r="E55" s="26">
        <f>COUNTIF(리명3!$C$6:$C$500,"종")</f>
        <v>0</v>
      </c>
      <c r="F55" s="27" t="s">
        <v>4</v>
      </c>
      <c r="G55" s="28">
        <f>SUMIF(리명3!$C$6:$C$500,"종",리명3!$E$6:$E$500)</f>
        <v>0</v>
      </c>
      <c r="H55" s="26">
        <f>COUNTIF(리명3!$M$6:$M$500,"종국")</f>
        <v>0</v>
      </c>
      <c r="I55" s="27" t="s">
        <v>4</v>
      </c>
      <c r="J55" s="28">
        <f>SUMIF(리명3!$M$6:$M$500,"종국",리명3!$E$6:$E$500)</f>
        <v>0</v>
      </c>
      <c r="K55" s="26">
        <f>COUNTIF(리명3!$M$6:$M$500,"종국")</f>
        <v>0</v>
      </c>
      <c r="L55" s="27" t="s">
        <v>4</v>
      </c>
      <c r="M55" s="28">
        <f>SUMIF(리명3!$M$6:$M$500,"종국",리명3!$E$6:$E$500)</f>
        <v>0</v>
      </c>
      <c r="N55" s="26">
        <f>COUNTIF(리명3!$M$6:$M$500,"종공")</f>
        <v>0</v>
      </c>
      <c r="O55" s="27" t="s">
        <v>4</v>
      </c>
      <c r="P55" s="28">
        <f>SUMIF(리명3!$M$6:$M$500,"종공",리명3!$E$6:$E$500)</f>
        <v>0</v>
      </c>
      <c r="Q55" s="26">
        <f>COUNTIF(리명3!$M$6:$M$500,"종공")</f>
        <v>0</v>
      </c>
      <c r="R55" s="27" t="s">
        <v>4</v>
      </c>
      <c r="S55" s="28">
        <f>SUMIF(리명3!$M$6:$M$500,"종공",리명3!$E$6:$E$500)</f>
        <v>0</v>
      </c>
      <c r="T55" s="26">
        <f t="shared" si="3"/>
        <v>0</v>
      </c>
      <c r="U55" s="27" t="s">
        <v>4</v>
      </c>
      <c r="V55" s="28">
        <f t="shared" si="4"/>
        <v>0</v>
      </c>
      <c r="W55" s="26">
        <f t="shared" si="4"/>
        <v>0</v>
      </c>
      <c r="X55" s="27" t="s">
        <v>4</v>
      </c>
      <c r="Y55" s="28">
        <f t="shared" si="5"/>
        <v>0</v>
      </c>
      <c r="Z55" s="40"/>
      <c r="AA55" s="10"/>
      <c r="AB55" s="10"/>
      <c r="AC55" s="10"/>
      <c r="AD55" s="10"/>
      <c r="AE55" s="10"/>
      <c r="AF55" s="10"/>
      <c r="AG55" s="10"/>
      <c r="AH55" s="10"/>
    </row>
    <row r="56" spans="1:34" s="11" customFormat="1" ht="17.100000000000001" customHeight="1">
      <c r="A56" s="30" t="s">
        <v>23</v>
      </c>
      <c r="B56" s="26">
        <f>COUNTIF(리명3!$C$6:$C$500,"염")</f>
        <v>0</v>
      </c>
      <c r="C56" s="27" t="s">
        <v>4</v>
      </c>
      <c r="D56" s="28">
        <f>SUMIF(리명3!$C$6:$C$500,"염",리명3!$E$6:$E$500)</f>
        <v>0</v>
      </c>
      <c r="E56" s="26">
        <f>COUNTIF(리명3!$C$6:$C$500,"염")</f>
        <v>0</v>
      </c>
      <c r="F56" s="27" t="s">
        <v>4</v>
      </c>
      <c r="G56" s="28">
        <f>SUMIF(리명3!$C$6:$C$500,"염",리명3!$E$6:$E$500)</f>
        <v>0</v>
      </c>
      <c r="H56" s="26">
        <f>COUNTIF(리명3!$M$6:$M$500,"염국")</f>
        <v>0</v>
      </c>
      <c r="I56" s="27" t="s">
        <v>4</v>
      </c>
      <c r="J56" s="28">
        <f>SUMIF(리명3!$M$6:$M$500,"염국",리명3!$E$6:$E$500)</f>
        <v>0</v>
      </c>
      <c r="K56" s="26">
        <f>COUNTIF(리명3!$M$6:$M$500,"염국")</f>
        <v>0</v>
      </c>
      <c r="L56" s="27" t="s">
        <v>4</v>
      </c>
      <c r="M56" s="28">
        <f>SUMIF(리명3!$M$6:$M$500,"염국",리명3!$E$6:$E$500)</f>
        <v>0</v>
      </c>
      <c r="N56" s="26">
        <f>COUNTIF(리명3!$M$6:$M$500,"염공")</f>
        <v>0</v>
      </c>
      <c r="O56" s="27" t="s">
        <v>4</v>
      </c>
      <c r="P56" s="28">
        <f>SUMIF(리명3!$M$6:$M$500,"염공",리명3!$E$6:$E$500)</f>
        <v>0</v>
      </c>
      <c r="Q56" s="26">
        <f>COUNTIF(리명3!$M$6:$M$500,"염공")</f>
        <v>0</v>
      </c>
      <c r="R56" s="27" t="s">
        <v>4</v>
      </c>
      <c r="S56" s="28">
        <f>SUMIF(리명3!$M$6:$M$500,"염공",리명3!$E$6:$E$500)</f>
        <v>0</v>
      </c>
      <c r="T56" s="26">
        <f t="shared" si="3"/>
        <v>0</v>
      </c>
      <c r="U56" s="27" t="s">
        <v>4</v>
      </c>
      <c r="V56" s="28">
        <f t="shared" si="4"/>
        <v>0</v>
      </c>
      <c r="W56" s="26">
        <f t="shared" si="4"/>
        <v>0</v>
      </c>
      <c r="X56" s="27" t="s">
        <v>4</v>
      </c>
      <c r="Y56" s="28">
        <f t="shared" si="5"/>
        <v>0</v>
      </c>
      <c r="Z56" s="40"/>
      <c r="AA56" s="10"/>
      <c r="AB56" s="10"/>
      <c r="AC56" s="10"/>
      <c r="AD56" s="10"/>
      <c r="AE56" s="10"/>
      <c r="AF56" s="10"/>
      <c r="AG56" s="10"/>
      <c r="AH56" s="10"/>
    </row>
    <row r="57" spans="1:34" s="11" customFormat="1" ht="17.100000000000001" customHeight="1">
      <c r="A57" s="30" t="s">
        <v>24</v>
      </c>
      <c r="B57" s="26">
        <f>COUNTIF(리명3!$C$6:$C$500,"공")</f>
        <v>0</v>
      </c>
      <c r="C57" s="27" t="s">
        <v>4</v>
      </c>
      <c r="D57" s="28">
        <f>SUMIF(리명3!$C$6:$C$500,"공",리명3!$E$6:$E$500)</f>
        <v>0</v>
      </c>
      <c r="E57" s="26">
        <f>COUNTIF(리명3!$C$6:$C$500,"공")</f>
        <v>0</v>
      </c>
      <c r="F57" s="27" t="s">
        <v>4</v>
      </c>
      <c r="G57" s="28">
        <f>SUMIF(리명3!$C$6:$C$500,"공",리명3!$E$6:$E$500)</f>
        <v>0</v>
      </c>
      <c r="H57" s="26">
        <f>COUNTIF(리명3!$M$6:$M$500,"공국")</f>
        <v>0</v>
      </c>
      <c r="I57" s="27" t="s">
        <v>4</v>
      </c>
      <c r="J57" s="28">
        <f>SUMIF(리명3!$M$6:$M$500,"공국",리명3!$E$6:$E$500)</f>
        <v>0</v>
      </c>
      <c r="K57" s="26">
        <f>COUNTIF(리명3!$M$6:$M$500,"공국")</f>
        <v>0</v>
      </c>
      <c r="L57" s="27" t="s">
        <v>4</v>
      </c>
      <c r="M57" s="28">
        <f>SUMIF(리명3!$M$6:$M$500,"공국",리명3!$E$6:$E$500)</f>
        <v>0</v>
      </c>
      <c r="N57" s="26">
        <f>COUNTIF(리명3!$M$6:$M$500,"공공")</f>
        <v>0</v>
      </c>
      <c r="O57" s="27" t="s">
        <v>4</v>
      </c>
      <c r="P57" s="28">
        <f>SUMIF(리명3!$M$6:$M$500,"공공",리명3!$E$6:$E$500)</f>
        <v>0</v>
      </c>
      <c r="Q57" s="26">
        <f>COUNTIF(리명3!$M$6:$M$500,"공공")</f>
        <v>0</v>
      </c>
      <c r="R57" s="27" t="s">
        <v>4</v>
      </c>
      <c r="S57" s="28">
        <f>SUMIF(리명3!$M$6:$M$500,"공공",리명3!$E$6:$E$500)</f>
        <v>0</v>
      </c>
      <c r="T57" s="26">
        <f t="shared" si="3"/>
        <v>0</v>
      </c>
      <c r="U57" s="27" t="s">
        <v>4</v>
      </c>
      <c r="V57" s="28">
        <f t="shared" si="4"/>
        <v>0</v>
      </c>
      <c r="W57" s="26">
        <f t="shared" si="4"/>
        <v>0</v>
      </c>
      <c r="X57" s="27" t="s">
        <v>4</v>
      </c>
      <c r="Y57" s="28">
        <f t="shared" si="5"/>
        <v>0</v>
      </c>
      <c r="Z57" s="40"/>
      <c r="AA57" s="10"/>
      <c r="AB57" s="10"/>
      <c r="AC57" s="10"/>
      <c r="AD57" s="10"/>
      <c r="AE57" s="10"/>
      <c r="AF57" s="10"/>
      <c r="AG57" s="10"/>
      <c r="AH57" s="10"/>
    </row>
    <row r="58" spans="1:34" s="11" customFormat="1" ht="17.100000000000001" customHeight="1">
      <c r="A58" s="30" t="s">
        <v>25</v>
      </c>
      <c r="B58" s="26">
        <f>COUNTIF(리명3!$C$6:$C$500,"체")</f>
        <v>0</v>
      </c>
      <c r="C58" s="27" t="s">
        <v>4</v>
      </c>
      <c r="D58" s="28">
        <f>SUMIF(리명3!$C$6:$C$500,"체",리명3!$E$6:$E$500)</f>
        <v>0</v>
      </c>
      <c r="E58" s="26">
        <f>COUNTIF(리명3!$C$6:$C$500,"체")</f>
        <v>0</v>
      </c>
      <c r="F58" s="27" t="s">
        <v>4</v>
      </c>
      <c r="G58" s="28">
        <f>SUMIF(리명3!$C$6:$C$500,"체",리명3!$E$6:$E$500)</f>
        <v>0</v>
      </c>
      <c r="H58" s="26">
        <f>COUNTIF(리명3!$M$6:$M$500,"체국")</f>
        <v>0</v>
      </c>
      <c r="I58" s="27" t="s">
        <v>4</v>
      </c>
      <c r="J58" s="28">
        <f>SUMIF(리명3!$M$6:$M$500,"체국",리명3!$E$6:$E$500)</f>
        <v>0</v>
      </c>
      <c r="K58" s="26">
        <f>COUNTIF(리명3!$M$6:$M$500,"체국")</f>
        <v>0</v>
      </c>
      <c r="L58" s="27" t="s">
        <v>4</v>
      </c>
      <c r="M58" s="28">
        <f>SUMIF(리명3!$M$6:$M$500,"체국",리명3!$E$6:$E$500)</f>
        <v>0</v>
      </c>
      <c r="N58" s="26">
        <f>COUNTIF(리명3!$M$6:$M$500,"체공")</f>
        <v>0</v>
      </c>
      <c r="O58" s="27" t="s">
        <v>4</v>
      </c>
      <c r="P58" s="28">
        <f>SUMIF(리명3!$M$6:$M$500,"체공",리명3!$E$6:$E$500)</f>
        <v>0</v>
      </c>
      <c r="Q58" s="26">
        <f>COUNTIF(리명3!$M$6:$M$500,"체공")</f>
        <v>0</v>
      </c>
      <c r="R58" s="27" t="s">
        <v>4</v>
      </c>
      <c r="S58" s="28">
        <f>SUMIF(리명3!$M$6:$M$500,"체공",리명3!$E$6:$E$500)</f>
        <v>0</v>
      </c>
      <c r="T58" s="26">
        <f t="shared" si="3"/>
        <v>0</v>
      </c>
      <c r="U58" s="27" t="s">
        <v>4</v>
      </c>
      <c r="V58" s="28">
        <f t="shared" si="4"/>
        <v>0</v>
      </c>
      <c r="W58" s="26">
        <f t="shared" si="4"/>
        <v>0</v>
      </c>
      <c r="X58" s="27" t="s">
        <v>4</v>
      </c>
      <c r="Y58" s="28">
        <f t="shared" si="5"/>
        <v>0</v>
      </c>
      <c r="Z58" s="40"/>
      <c r="AA58" s="10"/>
      <c r="AB58" s="10"/>
      <c r="AC58" s="10"/>
      <c r="AD58" s="10"/>
      <c r="AE58" s="10"/>
      <c r="AF58" s="10"/>
      <c r="AG58" s="10"/>
      <c r="AH58" s="10"/>
    </row>
    <row r="59" spans="1:34" s="11" customFormat="1" ht="17.100000000000001" customHeight="1">
      <c r="A59" s="30" t="s">
        <v>26</v>
      </c>
      <c r="B59" s="26">
        <f>COUNTIF(리명3!$C$6:$C$500,"원")</f>
        <v>0</v>
      </c>
      <c r="C59" s="27" t="s">
        <v>4</v>
      </c>
      <c r="D59" s="28">
        <f>SUMIF(리명3!$C$6:$C$500,"원",리명3!$E$6:$E$500)</f>
        <v>0</v>
      </c>
      <c r="E59" s="26">
        <f>COUNTIF(리명3!$C$6:$C$500,"원")</f>
        <v>0</v>
      </c>
      <c r="F59" s="27" t="s">
        <v>4</v>
      </c>
      <c r="G59" s="28">
        <f>SUMIF(리명3!$C$6:$C$500,"원",리명3!$E$6:$E$500)</f>
        <v>0</v>
      </c>
      <c r="H59" s="26">
        <f>COUNTIF(리명3!$M$6:$M$500,"원국")</f>
        <v>0</v>
      </c>
      <c r="I59" s="27" t="s">
        <v>4</v>
      </c>
      <c r="J59" s="28">
        <f>SUMIF(리명3!$M$6:$M$500,"원국",리명3!$E$6:$E$500)</f>
        <v>0</v>
      </c>
      <c r="K59" s="26">
        <f>COUNTIF(리명3!$M$6:$M$500,"원국")</f>
        <v>0</v>
      </c>
      <c r="L59" s="27" t="s">
        <v>4</v>
      </c>
      <c r="M59" s="28">
        <f>SUMIF(리명3!$M$6:$M$500,"원국",리명3!$E$6:$E$500)</f>
        <v>0</v>
      </c>
      <c r="N59" s="26">
        <f>COUNTIF(리명3!$M$6:$M$500,"원공")</f>
        <v>0</v>
      </c>
      <c r="O59" s="27" t="s">
        <v>4</v>
      </c>
      <c r="P59" s="28">
        <f>SUMIF(리명3!$M$6:$M$500,"원공",리명3!$E$6:$E$500)</f>
        <v>0</v>
      </c>
      <c r="Q59" s="26">
        <f>COUNTIF(리명3!$M$6:$M$500,"원공")</f>
        <v>0</v>
      </c>
      <c r="R59" s="27" t="s">
        <v>4</v>
      </c>
      <c r="S59" s="28">
        <f>SUMIF(리명3!$M$6:$M$500,"원공",리명3!$E$6:$E$500)</f>
        <v>0</v>
      </c>
      <c r="T59" s="26">
        <f t="shared" si="3"/>
        <v>0</v>
      </c>
      <c r="U59" s="27" t="s">
        <v>4</v>
      </c>
      <c r="V59" s="28">
        <f t="shared" si="4"/>
        <v>0</v>
      </c>
      <c r="W59" s="26">
        <f t="shared" si="4"/>
        <v>0</v>
      </c>
      <c r="X59" s="27" t="s">
        <v>4</v>
      </c>
      <c r="Y59" s="28">
        <f t="shared" si="5"/>
        <v>0</v>
      </c>
      <c r="Z59" s="40"/>
      <c r="AA59" s="10"/>
      <c r="AB59" s="10"/>
      <c r="AC59" s="10"/>
      <c r="AD59" s="10"/>
      <c r="AE59" s="10"/>
      <c r="AF59" s="10"/>
      <c r="AG59" s="10"/>
      <c r="AH59" s="10"/>
    </row>
    <row r="60" spans="1:34" s="11" customFormat="1" ht="17.100000000000001" customHeight="1">
      <c r="A60" s="30" t="s">
        <v>43</v>
      </c>
      <c r="B60" s="26">
        <f>COUNTIF(리명3!$C$6:$C$500,"주")</f>
        <v>0</v>
      </c>
      <c r="C60" s="27" t="s">
        <v>4</v>
      </c>
      <c r="D60" s="28">
        <f>SUMIF(리명3!$C$6:$C$500,"주",리명3!$E$6:$E$500)</f>
        <v>0</v>
      </c>
      <c r="E60" s="26">
        <f>COUNTIF(리명3!$C$6:$C$500,"주")</f>
        <v>0</v>
      </c>
      <c r="F60" s="27" t="s">
        <v>4</v>
      </c>
      <c r="G60" s="28">
        <f>SUMIF(리명3!$C$6:$C$500,"주",리명3!$E$6:$E$500)</f>
        <v>0</v>
      </c>
      <c r="H60" s="26">
        <f>COUNTIF(리명3!$M$6:$M$500,"주국")</f>
        <v>0</v>
      </c>
      <c r="I60" s="27" t="s">
        <v>4</v>
      </c>
      <c r="J60" s="28">
        <f>SUMIF(리명3!$M$6:$M$500,"주국",리명3!$E$6:$E$500)</f>
        <v>0</v>
      </c>
      <c r="K60" s="26">
        <f>COUNTIF(리명3!$M$6:$M$500,"주국")</f>
        <v>0</v>
      </c>
      <c r="L60" s="27" t="s">
        <v>4</v>
      </c>
      <c r="M60" s="28">
        <f>SUMIF(리명3!$M$6:$M$500,"주국",리명3!$E$6:$E$500)</f>
        <v>0</v>
      </c>
      <c r="N60" s="26">
        <f>COUNTIF(리명3!$M$6:$M$500,"주공")</f>
        <v>0</v>
      </c>
      <c r="O60" s="27" t="s">
        <v>4</v>
      </c>
      <c r="P60" s="28">
        <f>SUMIF(리명3!$M$6:$M$500,"주공",리명3!$E$6:$E$500)</f>
        <v>0</v>
      </c>
      <c r="Q60" s="26">
        <f>COUNTIF(리명3!$M$6:$M$500,"주공")</f>
        <v>0</v>
      </c>
      <c r="R60" s="27" t="s">
        <v>4</v>
      </c>
      <c r="S60" s="28">
        <f>SUMIF(리명3!$M$6:$M$500,"주공",리명3!$E$6:$E$500)</f>
        <v>0</v>
      </c>
      <c r="T60" s="26">
        <f t="shared" si="3"/>
        <v>0</v>
      </c>
      <c r="U60" s="27" t="s">
        <v>4</v>
      </c>
      <c r="V60" s="28">
        <f t="shared" si="4"/>
        <v>0</v>
      </c>
      <c r="W60" s="26">
        <f t="shared" si="4"/>
        <v>0</v>
      </c>
      <c r="X60" s="27" t="s">
        <v>4</v>
      </c>
      <c r="Y60" s="28">
        <f t="shared" si="5"/>
        <v>0</v>
      </c>
      <c r="Z60" s="40"/>
      <c r="AA60" s="10"/>
      <c r="AB60" s="10"/>
      <c r="AC60" s="10"/>
      <c r="AD60" s="10"/>
      <c r="AE60" s="10"/>
      <c r="AF60" s="10"/>
      <c r="AG60" s="10"/>
      <c r="AH60" s="10"/>
    </row>
    <row r="61" spans="1:34" s="11" customFormat="1" ht="17.100000000000001" customHeight="1">
      <c r="A61" s="30" t="s">
        <v>0</v>
      </c>
      <c r="B61" s="26">
        <f>COUNTIF(리명3!$C$6:$C$500,"창")</f>
        <v>0</v>
      </c>
      <c r="C61" s="27" t="s">
        <v>4</v>
      </c>
      <c r="D61" s="28">
        <f>SUMIF(리명3!$C$6:$C$500,"창",리명3!$E$6:$E$500)</f>
        <v>0</v>
      </c>
      <c r="E61" s="26">
        <f>COUNTIF(리명3!$C$6:$C$500,"창")</f>
        <v>0</v>
      </c>
      <c r="F61" s="27" t="s">
        <v>4</v>
      </c>
      <c r="G61" s="28">
        <f>SUMIF(리명3!$C$6:$C$500,"창",리명3!$E$6:$E$500)</f>
        <v>0</v>
      </c>
      <c r="H61" s="26">
        <f>COUNTIF(리명3!$M$6:$M$500,"창국")</f>
        <v>0</v>
      </c>
      <c r="I61" s="27" t="s">
        <v>4</v>
      </c>
      <c r="J61" s="28">
        <f>SUMIF(리명3!$M$6:$M$500,"창국",리명3!$E$6:$E$500)</f>
        <v>0</v>
      </c>
      <c r="K61" s="26">
        <f>COUNTIF(리명3!$M$6:$M$500,"창국")</f>
        <v>0</v>
      </c>
      <c r="L61" s="27" t="s">
        <v>4</v>
      </c>
      <c r="M61" s="28">
        <f>SUMIF(리명3!$M$6:$M$500,"창국",리명3!$E$6:$E$500)</f>
        <v>0</v>
      </c>
      <c r="N61" s="26">
        <f>COUNTIF(리명3!$M$6:$M$500,"창공")</f>
        <v>0</v>
      </c>
      <c r="O61" s="27" t="s">
        <v>4</v>
      </c>
      <c r="P61" s="28">
        <f>SUMIF(리명3!$M$6:$M$500,"창공",리명3!$E$6:$E$500)</f>
        <v>0</v>
      </c>
      <c r="Q61" s="26">
        <f>COUNTIF(리명3!$M$6:$M$500,"창공")</f>
        <v>0</v>
      </c>
      <c r="R61" s="27" t="s">
        <v>4</v>
      </c>
      <c r="S61" s="28">
        <f>SUMIF(리명3!$M$6:$M$500,"창공",리명3!$E$6:$E$500)</f>
        <v>0</v>
      </c>
      <c r="T61" s="26">
        <f t="shared" si="3"/>
        <v>0</v>
      </c>
      <c r="U61" s="27" t="s">
        <v>4</v>
      </c>
      <c r="V61" s="28">
        <f t="shared" si="4"/>
        <v>0</v>
      </c>
      <c r="W61" s="26">
        <f t="shared" si="4"/>
        <v>0</v>
      </c>
      <c r="X61" s="27" t="s">
        <v>4</v>
      </c>
      <c r="Y61" s="28">
        <f t="shared" si="5"/>
        <v>0</v>
      </c>
      <c r="Z61" s="40"/>
      <c r="AA61" s="10"/>
      <c r="AB61" s="10"/>
      <c r="AC61" s="10"/>
      <c r="AD61" s="10"/>
      <c r="AE61" s="10"/>
      <c r="AF61" s="10"/>
      <c r="AG61" s="10"/>
      <c r="AH61" s="10"/>
    </row>
    <row r="62" spans="1:34" s="11" customFormat="1" ht="17.100000000000001" customHeight="1">
      <c r="A62" s="31" t="s">
        <v>42</v>
      </c>
      <c r="B62" s="32">
        <f>COUNTIF(리명3!$C$6:$C$500," ")</f>
        <v>0</v>
      </c>
      <c r="C62" s="33" t="s">
        <v>4</v>
      </c>
      <c r="D62" s="34">
        <f>SUMIF(리명3!$C$6:$C$500," ",리명3!$E$6:$E$500)</f>
        <v>0</v>
      </c>
      <c r="E62" s="32">
        <f>COUNTIF(리명3!$C$6:$C$500," ")</f>
        <v>0</v>
      </c>
      <c r="F62" s="33" t="s">
        <v>4</v>
      </c>
      <c r="G62" s="34">
        <f>SUMIF(리명3!$C$6:$C$500," ",리명3!$E$6:$E$500)</f>
        <v>0</v>
      </c>
      <c r="H62" s="32">
        <f>COUNTIF(리명3!$M$6:$M$500," ")</f>
        <v>0</v>
      </c>
      <c r="I62" s="33" t="s">
        <v>4</v>
      </c>
      <c r="J62" s="34">
        <f>SUMIF(리명3!$M$6:$M$500," ",리명3!$E$6:$E$500)</f>
        <v>0</v>
      </c>
      <c r="K62" s="32">
        <f>COUNTIF(리명3!$M$6:$M$500," ")</f>
        <v>0</v>
      </c>
      <c r="L62" s="33" t="s">
        <v>4</v>
      </c>
      <c r="M62" s="34">
        <f>SUMIF(리명3!$M$6:$M$500," ",리명3!$E$6:$E$500)</f>
        <v>0</v>
      </c>
      <c r="N62" s="32">
        <f>COUNTIF(리명3!$M$6:$M$500," ")</f>
        <v>0</v>
      </c>
      <c r="O62" s="33" t="s">
        <v>4</v>
      </c>
      <c r="P62" s="34">
        <f>SUMIF(리명3!$M$6:$M$500," ",리명3!$E$6:$E$500)</f>
        <v>0</v>
      </c>
      <c r="Q62" s="32">
        <f>COUNTIF(리명3!$M$6:$M$500," ")</f>
        <v>0</v>
      </c>
      <c r="R62" s="33" t="s">
        <v>4</v>
      </c>
      <c r="S62" s="34">
        <f>SUMIF(리명3!$M$6:$M$500," ",리명3!$E$6:$E$500)</f>
        <v>0</v>
      </c>
      <c r="T62" s="32">
        <f t="shared" si="3"/>
        <v>0</v>
      </c>
      <c r="U62" s="33" t="s">
        <v>4</v>
      </c>
      <c r="V62" s="34">
        <f t="shared" si="4"/>
        <v>0</v>
      </c>
      <c r="W62" s="32">
        <f t="shared" si="4"/>
        <v>0</v>
      </c>
      <c r="X62" s="33" t="s">
        <v>4</v>
      </c>
      <c r="Y62" s="34">
        <f t="shared" si="5"/>
        <v>0</v>
      </c>
      <c r="Z62" s="41"/>
      <c r="AA62" s="10"/>
      <c r="AB62" s="10"/>
      <c r="AC62" s="10"/>
      <c r="AD62" s="10"/>
      <c r="AE62" s="10"/>
      <c r="AF62" s="10"/>
      <c r="AG62" s="10"/>
      <c r="AH62" s="10"/>
    </row>
    <row r="63" spans="1:34" s="9" customFormat="1" ht="31.5" customHeight="1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>
        <f>리명4!N2</f>
        <v>4</v>
      </c>
      <c r="U63" s="5"/>
      <c r="V63" s="5"/>
      <c r="W63" s="5">
        <f>리명4!Q2</f>
        <v>0</v>
      </c>
      <c r="X63" s="5"/>
      <c r="Y63" s="5"/>
      <c r="Z63" s="5"/>
    </row>
    <row r="64" spans="1:34" s="11" customFormat="1" ht="20.100000000000001" customHeight="1">
      <c r="A64" s="424" t="s">
        <v>2</v>
      </c>
      <c r="B64" s="427"/>
      <c r="C64" s="427"/>
      <c r="D64" s="427"/>
      <c r="E64" s="427"/>
      <c r="F64" s="427"/>
      <c r="G64" s="427"/>
      <c r="H64" s="427"/>
      <c r="I64" s="427"/>
      <c r="J64" s="427"/>
      <c r="K64" s="427"/>
      <c r="L64" s="427"/>
      <c r="M64" s="427"/>
      <c r="N64" s="427"/>
      <c r="O64" s="427"/>
      <c r="P64" s="427"/>
      <c r="Q64" s="427"/>
      <c r="R64" s="427"/>
      <c r="S64" s="427"/>
      <c r="T64" s="427"/>
      <c r="U64" s="427"/>
      <c r="V64" s="427"/>
      <c r="W64" s="427"/>
      <c r="X64" s="427"/>
      <c r="Y64" s="427"/>
      <c r="Z64" s="428" t="s">
        <v>27</v>
      </c>
      <c r="AA64" s="10"/>
      <c r="AE64" s="10"/>
      <c r="AF64" s="10"/>
      <c r="AG64" s="10"/>
      <c r="AH64" s="10"/>
    </row>
    <row r="65" spans="1:34" s="11" customFormat="1" ht="20.100000000000001" customHeight="1">
      <c r="A65" s="425"/>
      <c r="B65" s="422" t="s">
        <v>44</v>
      </c>
      <c r="C65" s="423"/>
      <c r="D65" s="423"/>
      <c r="E65" s="422" t="s">
        <v>44</v>
      </c>
      <c r="F65" s="423"/>
      <c r="G65" s="423"/>
      <c r="H65" s="422" t="s">
        <v>44</v>
      </c>
      <c r="I65" s="423"/>
      <c r="J65" s="423"/>
      <c r="K65" s="422" t="s">
        <v>44</v>
      </c>
      <c r="L65" s="423"/>
      <c r="M65" s="423"/>
      <c r="N65" s="422" t="s">
        <v>44</v>
      </c>
      <c r="O65" s="423"/>
      <c r="P65" s="423"/>
      <c r="Q65" s="422" t="s">
        <v>44</v>
      </c>
      <c r="R65" s="423"/>
      <c r="S65" s="423"/>
      <c r="T65" s="422" t="s">
        <v>44</v>
      </c>
      <c r="U65" s="423"/>
      <c r="V65" s="423"/>
      <c r="W65" s="422" t="s">
        <v>44</v>
      </c>
      <c r="X65" s="423"/>
      <c r="Y65" s="423"/>
      <c r="Z65" s="429"/>
      <c r="AA65" s="10"/>
      <c r="AE65" s="10"/>
      <c r="AF65" s="10"/>
      <c r="AG65" s="10"/>
      <c r="AH65" s="10"/>
    </row>
    <row r="66" spans="1:34" s="11" customFormat="1" ht="20.100000000000001" customHeight="1">
      <c r="A66" s="426"/>
      <c r="B66" s="38" t="s">
        <v>3</v>
      </c>
      <c r="C66" s="36" t="s">
        <v>4</v>
      </c>
      <c r="D66" s="37" t="s">
        <v>45</v>
      </c>
      <c r="E66" s="38" t="s">
        <v>3</v>
      </c>
      <c r="F66" s="36" t="s">
        <v>4</v>
      </c>
      <c r="G66" s="37" t="s">
        <v>45</v>
      </c>
      <c r="H66" s="38" t="s">
        <v>3</v>
      </c>
      <c r="I66" s="36" t="s">
        <v>4</v>
      </c>
      <c r="J66" s="37" t="s">
        <v>45</v>
      </c>
      <c r="K66" s="38" t="s">
        <v>3</v>
      </c>
      <c r="L66" s="36" t="s">
        <v>4</v>
      </c>
      <c r="M66" s="37" t="s">
        <v>45</v>
      </c>
      <c r="N66" s="38" t="s">
        <v>3</v>
      </c>
      <c r="O66" s="36" t="s">
        <v>4</v>
      </c>
      <c r="P66" s="37" t="s">
        <v>45</v>
      </c>
      <c r="Q66" s="38" t="s">
        <v>3</v>
      </c>
      <c r="R66" s="36" t="s">
        <v>4</v>
      </c>
      <c r="S66" s="37" t="s">
        <v>45</v>
      </c>
      <c r="T66" s="38" t="s">
        <v>3</v>
      </c>
      <c r="U66" s="36" t="s">
        <v>4</v>
      </c>
      <c r="V66" s="37" t="s">
        <v>45</v>
      </c>
      <c r="W66" s="38" t="s">
        <v>3</v>
      </c>
      <c r="X66" s="36" t="s">
        <v>4</v>
      </c>
      <c r="Y66" s="37" t="s">
        <v>45</v>
      </c>
      <c r="Z66" s="430"/>
      <c r="AB66" s="10"/>
      <c r="AC66" s="12" t="s">
        <v>28</v>
      </c>
      <c r="AD66" s="12" t="s">
        <v>29</v>
      </c>
      <c r="AE66" s="12" t="s">
        <v>30</v>
      </c>
      <c r="AF66" s="12" t="s">
        <v>31</v>
      </c>
      <c r="AG66" s="10"/>
      <c r="AH66" s="10"/>
    </row>
    <row r="67" spans="1:34" s="11" customFormat="1" ht="17.100000000000001" customHeight="1">
      <c r="A67" s="21" t="s">
        <v>1</v>
      </c>
      <c r="B67" s="22">
        <f>SUM(B68:B92)</f>
        <v>0</v>
      </c>
      <c r="C67" s="23" t="s">
        <v>4</v>
      </c>
      <c r="D67" s="24">
        <f>SUM(D68:D92)</f>
        <v>0</v>
      </c>
      <c r="E67" s="22">
        <f>SUM(E68:E92)</f>
        <v>0</v>
      </c>
      <c r="F67" s="23" t="s">
        <v>4</v>
      </c>
      <c r="G67" s="24">
        <f>SUM(G68:G92)</f>
        <v>0</v>
      </c>
      <c r="H67" s="22">
        <f>SUM(H68:H92)</f>
        <v>0</v>
      </c>
      <c r="I67" s="23" t="s">
        <v>4</v>
      </c>
      <c r="J67" s="24">
        <f>SUM(J68:J92)</f>
        <v>0</v>
      </c>
      <c r="K67" s="22">
        <f>SUM(K68:K92)</f>
        <v>0</v>
      </c>
      <c r="L67" s="23" t="s">
        <v>4</v>
      </c>
      <c r="M67" s="24">
        <f>SUM(M68:M92)</f>
        <v>0</v>
      </c>
      <c r="N67" s="22">
        <f>SUM(N68:N92)</f>
        <v>0</v>
      </c>
      <c r="O67" s="23" t="s">
        <v>4</v>
      </c>
      <c r="P67" s="24">
        <f>SUM(P68:P92)</f>
        <v>0</v>
      </c>
      <c r="Q67" s="22">
        <f>SUM(Q68:Q92)</f>
        <v>0</v>
      </c>
      <c r="R67" s="23" t="s">
        <v>4</v>
      </c>
      <c r="S67" s="24">
        <f>SUM(S68:S92)</f>
        <v>0</v>
      </c>
      <c r="T67" s="22">
        <f>SUM(T68:T92)</f>
        <v>0</v>
      </c>
      <c r="U67" s="23" t="s">
        <v>4</v>
      </c>
      <c r="V67" s="24">
        <f>SUM(V68:V92)</f>
        <v>0</v>
      </c>
      <c r="W67" s="22">
        <f>SUM(W68:W92)</f>
        <v>0</v>
      </c>
      <c r="X67" s="23" t="s">
        <v>4</v>
      </c>
      <c r="Y67" s="24">
        <f>SUM(Y68:Y92)</f>
        <v>0</v>
      </c>
      <c r="Z67" s="39"/>
      <c r="AA67" s="10" t="str">
        <f>IF(EXACT(AC67,AF67),"맞음","틀림")</f>
        <v>맞음</v>
      </c>
      <c r="AB67" s="10" t="s">
        <v>3</v>
      </c>
      <c r="AC67" s="13">
        <f>SUM(B68:B92)</f>
        <v>0</v>
      </c>
      <c r="AD67" s="13">
        <f>SUM(H68:H92)</f>
        <v>0</v>
      </c>
      <c r="AE67" s="13">
        <f>SUM(T68:T92)</f>
        <v>0</v>
      </c>
      <c r="AF67" s="13">
        <f>T67+H67</f>
        <v>0</v>
      </c>
      <c r="AG67" s="10"/>
      <c r="AH67" s="10"/>
    </row>
    <row r="68" spans="1:34" s="11" customFormat="1" ht="17.100000000000001" customHeight="1">
      <c r="A68" s="25" t="s">
        <v>5</v>
      </c>
      <c r="B68" s="26">
        <f>COUNTIF(리명4!$E$6:$E$500,"전")</f>
        <v>0</v>
      </c>
      <c r="C68" s="27" t="s">
        <v>4</v>
      </c>
      <c r="D68" s="28">
        <f>SUMIF(리명4!$E$6:$E$500,"전",리명4!$I$6:$I$500)</f>
        <v>0</v>
      </c>
      <c r="E68" s="26">
        <f>COUNTIF(리명4!$E$6:$E$500,"전")</f>
        <v>0</v>
      </c>
      <c r="F68" s="27" t="s">
        <v>4</v>
      </c>
      <c r="G68" s="28">
        <f>SUMIF(리명4!$E$6:$E$500,"전",리명4!$I$6:$I$500)</f>
        <v>0</v>
      </c>
      <c r="H68" s="26">
        <f>COUNTIF(리명4!$R$6:$R$500,"전국")</f>
        <v>0</v>
      </c>
      <c r="I68" s="27" t="s">
        <v>4</v>
      </c>
      <c r="J68" s="28">
        <f>SUMIF(리명4!$R$6:$R$500,"전국",리명4!$I$6:$I$500)</f>
        <v>0</v>
      </c>
      <c r="K68" s="26">
        <f>COUNTIF(리명4!$R$6:$R$500,"전국")</f>
        <v>0</v>
      </c>
      <c r="L68" s="27" t="s">
        <v>4</v>
      </c>
      <c r="M68" s="28">
        <f>SUMIF(리명4!$R$6:$R$500,"전국",리명4!$I$6:$I$500)</f>
        <v>0</v>
      </c>
      <c r="N68" s="26">
        <f>COUNTIF(리명4!$R$6:$R$500,"전공")</f>
        <v>0</v>
      </c>
      <c r="O68" s="27" t="s">
        <v>4</v>
      </c>
      <c r="P68" s="28">
        <f>SUMIF(리명4!$R$6:$R$500,"전공",리명4!$I$6:$I$500)</f>
        <v>0</v>
      </c>
      <c r="Q68" s="26">
        <f>COUNTIF(리명4!$R$6:$R$500,"전공")</f>
        <v>0</v>
      </c>
      <c r="R68" s="27" t="s">
        <v>4</v>
      </c>
      <c r="S68" s="28">
        <f>SUMIF(리명4!$R$6:$R$500,"전공",리명4!$I$6:$I$500)</f>
        <v>0</v>
      </c>
      <c r="T68" s="26">
        <f t="shared" ref="T68:T92" si="6">B68-H68-N68</f>
        <v>0</v>
      </c>
      <c r="U68" s="27" t="s">
        <v>4</v>
      </c>
      <c r="V68" s="28">
        <f t="shared" ref="V68:W92" si="7">D68-J68-P68</f>
        <v>0</v>
      </c>
      <c r="W68" s="26">
        <f t="shared" si="7"/>
        <v>0</v>
      </c>
      <c r="X68" s="27" t="s">
        <v>4</v>
      </c>
      <c r="Y68" s="28">
        <f t="shared" ref="Y68:Y92" si="8">G68-M68-S68</f>
        <v>0</v>
      </c>
      <c r="Z68" s="40"/>
      <c r="AA68" s="10" t="str">
        <f>IF(EXACT(AC68,AF68),"맞음","틀림")</f>
        <v>맞음</v>
      </c>
      <c r="AB68" s="10" t="s">
        <v>32</v>
      </c>
      <c r="AC68" s="13">
        <f>SUM(D68:D92)</f>
        <v>0</v>
      </c>
      <c r="AD68" s="13">
        <f>SUM(J68:J92)</f>
        <v>0</v>
      </c>
      <c r="AE68" s="13">
        <f>SUM(V68:V92)</f>
        <v>0</v>
      </c>
      <c r="AF68" s="13">
        <f>J67+V67</f>
        <v>0</v>
      </c>
      <c r="AG68" s="10"/>
      <c r="AH68" s="10"/>
    </row>
    <row r="69" spans="1:34" s="11" customFormat="1" ht="17.100000000000001" customHeight="1">
      <c r="A69" s="25" t="s">
        <v>6</v>
      </c>
      <c r="B69" s="26">
        <f>COUNTIF(리명4!$E$6:$E$500,"답")</f>
        <v>0</v>
      </c>
      <c r="C69" s="27" t="s">
        <v>4</v>
      </c>
      <c r="D69" s="28">
        <f>SUMIF(리명4!$E$6:$E$500,"답",리명4!$I$6:$I$500)</f>
        <v>0</v>
      </c>
      <c r="E69" s="26">
        <f>COUNTIF(리명4!$E$6:$E$500,"답")</f>
        <v>0</v>
      </c>
      <c r="F69" s="27" t="s">
        <v>4</v>
      </c>
      <c r="G69" s="28">
        <f>SUMIF(리명4!$E$6:$E$500,"답",리명4!$I$6:$I$500)</f>
        <v>0</v>
      </c>
      <c r="H69" s="26">
        <f>COUNTIF(리명4!$R$6:$R$500,"답국")</f>
        <v>0</v>
      </c>
      <c r="I69" s="27" t="s">
        <v>4</v>
      </c>
      <c r="J69" s="28">
        <f>SUMIF(리명4!$R$6:$R$500,"답국",리명4!$I$6:$I$500)</f>
        <v>0</v>
      </c>
      <c r="K69" s="26">
        <f>COUNTIF(리명4!$R$6:$R$500,"답국")</f>
        <v>0</v>
      </c>
      <c r="L69" s="27" t="s">
        <v>4</v>
      </c>
      <c r="M69" s="28">
        <f>SUMIF(리명4!$R$6:$R$500,"답국",리명4!$I$6:$I$500)</f>
        <v>0</v>
      </c>
      <c r="N69" s="26">
        <f>COUNTIF(리명4!$R$6:$R$500,"답공")</f>
        <v>0</v>
      </c>
      <c r="O69" s="27" t="s">
        <v>4</v>
      </c>
      <c r="P69" s="28">
        <f>SUMIF(리명4!$R$6:$R$500,"답공",리명4!$I$6:$I$500)</f>
        <v>0</v>
      </c>
      <c r="Q69" s="26">
        <f>COUNTIF(리명4!$R$6:$R$500,"답공")</f>
        <v>0</v>
      </c>
      <c r="R69" s="27" t="s">
        <v>4</v>
      </c>
      <c r="S69" s="28">
        <f>SUMIF(리명4!$R$6:$R$500,"답공",리명4!$I$6:$I$500)</f>
        <v>0</v>
      </c>
      <c r="T69" s="26">
        <f t="shared" si="6"/>
        <v>0</v>
      </c>
      <c r="U69" s="27" t="s">
        <v>4</v>
      </c>
      <c r="V69" s="28">
        <f t="shared" si="7"/>
        <v>0</v>
      </c>
      <c r="W69" s="26">
        <f t="shared" si="7"/>
        <v>0</v>
      </c>
      <c r="X69" s="27" t="s">
        <v>4</v>
      </c>
      <c r="Y69" s="28">
        <f t="shared" si="8"/>
        <v>0</v>
      </c>
      <c r="Z69" s="40"/>
      <c r="AC69" s="10"/>
      <c r="AE69" s="10"/>
      <c r="AG69" s="10"/>
      <c r="AH69" s="10"/>
    </row>
    <row r="70" spans="1:34" s="11" customFormat="1" ht="17.100000000000001" customHeight="1">
      <c r="A70" s="29" t="s">
        <v>7</v>
      </c>
      <c r="B70" s="26">
        <f>COUNTIF(리명4!$E$6:$E$500,"임")</f>
        <v>0</v>
      </c>
      <c r="C70" s="27" t="s">
        <v>4</v>
      </c>
      <c r="D70" s="28">
        <f>SUMIF(리명4!$E$6:$E$500,"임",리명4!$I$6:$I$500)</f>
        <v>0</v>
      </c>
      <c r="E70" s="26">
        <f>COUNTIF(리명4!$E$6:$E$500,"임")</f>
        <v>0</v>
      </c>
      <c r="F70" s="27" t="s">
        <v>4</v>
      </c>
      <c r="G70" s="28">
        <f>SUMIF(리명4!$E$6:$E$500,"임",리명4!$I$6:$I$500)</f>
        <v>0</v>
      </c>
      <c r="H70" s="26">
        <f>COUNTIF(리명4!$R$6:$R$500,"임국")</f>
        <v>0</v>
      </c>
      <c r="I70" s="27" t="s">
        <v>4</v>
      </c>
      <c r="J70" s="28">
        <f>SUMIF(리명4!$R$6:$R$500,"임국",리명4!$I$6:$I$500)</f>
        <v>0</v>
      </c>
      <c r="K70" s="26">
        <f>COUNTIF(리명4!$R$6:$R$500,"임국")</f>
        <v>0</v>
      </c>
      <c r="L70" s="27" t="s">
        <v>4</v>
      </c>
      <c r="M70" s="28">
        <f>SUMIF(리명4!$R$6:$R$500,"임국",리명4!$I$6:$I$500)</f>
        <v>0</v>
      </c>
      <c r="N70" s="26">
        <f>COUNTIF(리명4!$R$6:$R$500,"임공")</f>
        <v>0</v>
      </c>
      <c r="O70" s="27" t="s">
        <v>4</v>
      </c>
      <c r="P70" s="28">
        <f>SUMIF(리명4!$R$6:$R$500,"임공",리명4!$I$6:$I$500)</f>
        <v>0</v>
      </c>
      <c r="Q70" s="26">
        <f>COUNTIF(리명4!$R$6:$R$500,"임공")</f>
        <v>0</v>
      </c>
      <c r="R70" s="27" t="s">
        <v>4</v>
      </c>
      <c r="S70" s="28">
        <f>SUMIF(리명4!$R$6:$R$500,"임공",리명4!$I$6:$I$500)</f>
        <v>0</v>
      </c>
      <c r="T70" s="26">
        <f t="shared" si="6"/>
        <v>0</v>
      </c>
      <c r="U70" s="27" t="s">
        <v>4</v>
      </c>
      <c r="V70" s="28">
        <f t="shared" si="7"/>
        <v>0</v>
      </c>
      <c r="W70" s="26">
        <f t="shared" si="7"/>
        <v>0</v>
      </c>
      <c r="X70" s="27" t="s">
        <v>4</v>
      </c>
      <c r="Y70" s="28">
        <f t="shared" si="8"/>
        <v>0</v>
      </c>
      <c r="Z70" s="40"/>
      <c r="AC70" s="10"/>
      <c r="AE70" s="10"/>
      <c r="AG70" s="10"/>
      <c r="AH70" s="10"/>
    </row>
    <row r="71" spans="1:34" s="11" customFormat="1" ht="17.100000000000001" customHeight="1">
      <c r="A71" s="25" t="s">
        <v>8</v>
      </c>
      <c r="B71" s="26">
        <f>COUNTIF(리명4!$E$6:$E$500,"대")</f>
        <v>0</v>
      </c>
      <c r="C71" s="27" t="s">
        <v>4</v>
      </c>
      <c r="D71" s="28">
        <f>SUMIF(리명4!$E$6:$E$500,"대",리명4!$I$6:$I$500)</f>
        <v>0</v>
      </c>
      <c r="E71" s="26">
        <f>COUNTIF(리명4!$E$6:$E$500,"대")</f>
        <v>0</v>
      </c>
      <c r="F71" s="27" t="s">
        <v>4</v>
      </c>
      <c r="G71" s="28">
        <f>SUMIF(리명4!$E$6:$E$500,"대",리명4!$I$6:$I$500)</f>
        <v>0</v>
      </c>
      <c r="H71" s="26">
        <f>COUNTIF(리명4!$R$6:$R$500,"대국")</f>
        <v>0</v>
      </c>
      <c r="I71" s="27" t="s">
        <v>4</v>
      </c>
      <c r="J71" s="28">
        <f>SUMIF(리명4!$R$6:$R$500,"대국",리명4!$I$6:$I$500)</f>
        <v>0</v>
      </c>
      <c r="K71" s="26">
        <f>COUNTIF(리명4!$R$6:$R$500,"대국")</f>
        <v>0</v>
      </c>
      <c r="L71" s="27" t="s">
        <v>4</v>
      </c>
      <c r="M71" s="28">
        <f>SUMIF(리명4!$R$6:$R$500,"대국",리명4!$I$6:$I$500)</f>
        <v>0</v>
      </c>
      <c r="N71" s="26">
        <f>COUNTIF(리명4!$R$6:$R$500,"대공")</f>
        <v>0</v>
      </c>
      <c r="O71" s="27" t="s">
        <v>4</v>
      </c>
      <c r="P71" s="28">
        <f>SUMIF(리명4!$R$6:$R$500,"대공",리명4!$I$6:$I$500)</f>
        <v>0</v>
      </c>
      <c r="Q71" s="26">
        <f>COUNTIF(리명4!$R$6:$R$500,"대공")</f>
        <v>0</v>
      </c>
      <c r="R71" s="27" t="s">
        <v>4</v>
      </c>
      <c r="S71" s="28">
        <f>SUMIF(리명4!$R$6:$R$500,"대공",리명4!$I$6:$I$500)</f>
        <v>0</v>
      </c>
      <c r="T71" s="26">
        <f t="shared" si="6"/>
        <v>0</v>
      </c>
      <c r="U71" s="27" t="s">
        <v>4</v>
      </c>
      <c r="V71" s="28">
        <f t="shared" si="7"/>
        <v>0</v>
      </c>
      <c r="W71" s="26">
        <f t="shared" si="7"/>
        <v>0</v>
      </c>
      <c r="X71" s="27" t="s">
        <v>4</v>
      </c>
      <c r="Y71" s="28">
        <f t="shared" si="8"/>
        <v>0</v>
      </c>
      <c r="Z71" s="40"/>
      <c r="AA71" s="10"/>
      <c r="AB71" s="10"/>
      <c r="AC71" s="10"/>
      <c r="AD71" s="10"/>
      <c r="AE71" s="10"/>
      <c r="AF71" s="10"/>
      <c r="AG71" s="10"/>
      <c r="AH71" s="10"/>
    </row>
    <row r="72" spans="1:34" s="11" customFormat="1" ht="17.100000000000001" customHeight="1">
      <c r="A72" s="25" t="s">
        <v>9</v>
      </c>
      <c r="B72" s="26">
        <f>COUNTIF(리명4!$E$6:$E$500,"도")</f>
        <v>0</v>
      </c>
      <c r="C72" s="27" t="s">
        <v>4</v>
      </c>
      <c r="D72" s="28">
        <f>SUMIF(리명4!$E$6:$E$500,"도",리명4!$I$6:$I$500)</f>
        <v>0</v>
      </c>
      <c r="E72" s="26">
        <f>COUNTIF(리명4!$E$6:$E$500,"도")</f>
        <v>0</v>
      </c>
      <c r="F72" s="27" t="s">
        <v>4</v>
      </c>
      <c r="G72" s="28">
        <f>SUMIF(리명4!$E$6:$E$500,"도",리명4!$I$6:$I$500)</f>
        <v>0</v>
      </c>
      <c r="H72" s="26">
        <f>COUNTIF(리명4!$R$6:$R$500,"도국")</f>
        <v>0</v>
      </c>
      <c r="I72" s="27" t="s">
        <v>4</v>
      </c>
      <c r="J72" s="28">
        <f>SUMIF(리명4!$R$6:$R$500,"도국",리명4!$I$6:$I$500)</f>
        <v>0</v>
      </c>
      <c r="K72" s="26">
        <f>COUNTIF(리명4!$R$6:$R$500,"도국")</f>
        <v>0</v>
      </c>
      <c r="L72" s="27" t="s">
        <v>4</v>
      </c>
      <c r="M72" s="28">
        <f>SUMIF(리명4!$R$6:$R$500,"도국",리명4!$I$6:$I$500)</f>
        <v>0</v>
      </c>
      <c r="N72" s="26">
        <f>COUNTIF(리명4!$R$6:$R$500,"도공")</f>
        <v>0</v>
      </c>
      <c r="O72" s="27" t="s">
        <v>4</v>
      </c>
      <c r="P72" s="28">
        <f>SUMIF(리명4!$R$6:$R$500,"도공",리명4!$I$6:$I$500)</f>
        <v>0</v>
      </c>
      <c r="Q72" s="26">
        <f>COUNTIF(리명4!$R$6:$R$500,"도공")</f>
        <v>0</v>
      </c>
      <c r="R72" s="27" t="s">
        <v>4</v>
      </c>
      <c r="S72" s="28">
        <f>SUMIF(리명4!$R$6:$R$500,"도공",리명4!$I$6:$I$500)</f>
        <v>0</v>
      </c>
      <c r="T72" s="26">
        <f t="shared" si="6"/>
        <v>0</v>
      </c>
      <c r="U72" s="27" t="s">
        <v>4</v>
      </c>
      <c r="V72" s="28">
        <f t="shared" si="7"/>
        <v>0</v>
      </c>
      <c r="W72" s="26">
        <f t="shared" si="7"/>
        <v>0</v>
      </c>
      <c r="X72" s="27" t="s">
        <v>4</v>
      </c>
      <c r="Y72" s="28">
        <f t="shared" si="8"/>
        <v>0</v>
      </c>
      <c r="Z72" s="40"/>
      <c r="AA72" s="10"/>
      <c r="AB72" s="10"/>
      <c r="AC72" s="10"/>
      <c r="AD72" s="10"/>
      <c r="AE72" s="10"/>
      <c r="AF72" s="10"/>
      <c r="AG72" s="10"/>
      <c r="AH72" s="10"/>
    </row>
    <row r="73" spans="1:34" s="11" customFormat="1" ht="17.100000000000001" customHeight="1">
      <c r="A73" s="25" t="s">
        <v>10</v>
      </c>
      <c r="B73" s="26">
        <f>COUNTIF(리명4!$E$6:$E$500,"구")</f>
        <v>0</v>
      </c>
      <c r="C73" s="27" t="s">
        <v>4</v>
      </c>
      <c r="D73" s="28">
        <f>SUMIF(리명4!$E$6:$E$500,"구",리명4!$I$6:$I$500)</f>
        <v>0</v>
      </c>
      <c r="E73" s="26">
        <f>COUNTIF(리명4!$E$6:$E$500,"구")</f>
        <v>0</v>
      </c>
      <c r="F73" s="27" t="s">
        <v>4</v>
      </c>
      <c r="G73" s="28">
        <f>SUMIF(리명4!$E$6:$E$500,"구",리명4!$I$6:$I$500)</f>
        <v>0</v>
      </c>
      <c r="H73" s="26">
        <f>COUNTIF(리명4!$R$6:$R$500,"구국")</f>
        <v>0</v>
      </c>
      <c r="I73" s="27" t="s">
        <v>4</v>
      </c>
      <c r="J73" s="28">
        <f>SUMIF(리명4!$R$6:$R$500,"구국",리명4!$I$6:$I$500)</f>
        <v>0</v>
      </c>
      <c r="K73" s="26">
        <f>COUNTIF(리명4!$R$6:$R$500,"구국")</f>
        <v>0</v>
      </c>
      <c r="L73" s="27" t="s">
        <v>4</v>
      </c>
      <c r="M73" s="28">
        <f>SUMIF(리명4!$R$6:$R$500,"구국",리명4!$I$6:$I$500)</f>
        <v>0</v>
      </c>
      <c r="N73" s="26">
        <f>COUNTIF(리명4!$R$6:$R$500,"구공")</f>
        <v>0</v>
      </c>
      <c r="O73" s="27" t="s">
        <v>4</v>
      </c>
      <c r="P73" s="28">
        <f>SUMIF(리명4!$R$6:$R$500,"구공",리명4!$I$6:$I$500)</f>
        <v>0</v>
      </c>
      <c r="Q73" s="26">
        <f>COUNTIF(리명4!$R$6:$R$500,"구공")</f>
        <v>0</v>
      </c>
      <c r="R73" s="27" t="s">
        <v>4</v>
      </c>
      <c r="S73" s="28">
        <f>SUMIF(리명4!$R$6:$R$500,"구공",리명4!$I$6:$I$500)</f>
        <v>0</v>
      </c>
      <c r="T73" s="26">
        <f t="shared" si="6"/>
        <v>0</v>
      </c>
      <c r="U73" s="27" t="s">
        <v>4</v>
      </c>
      <c r="V73" s="28">
        <f t="shared" si="7"/>
        <v>0</v>
      </c>
      <c r="W73" s="26">
        <f t="shared" si="7"/>
        <v>0</v>
      </c>
      <c r="X73" s="27" t="s">
        <v>4</v>
      </c>
      <c r="Y73" s="28">
        <f t="shared" si="8"/>
        <v>0</v>
      </c>
      <c r="Z73" s="40"/>
      <c r="AA73" s="10"/>
      <c r="AB73" s="10"/>
      <c r="AC73" s="10"/>
      <c r="AD73" s="10"/>
      <c r="AE73" s="10"/>
      <c r="AF73" s="10"/>
      <c r="AG73" s="10"/>
      <c r="AH73" s="10"/>
    </row>
    <row r="74" spans="1:34" s="11" customFormat="1" ht="17.100000000000001" customHeight="1">
      <c r="A74" s="25" t="s">
        <v>11</v>
      </c>
      <c r="B74" s="26">
        <f>COUNTIF(리명4!$E$6:$E$500,"천")</f>
        <v>0</v>
      </c>
      <c r="C74" s="27" t="s">
        <v>4</v>
      </c>
      <c r="D74" s="28">
        <f>SUMIF(리명4!$E$6:$E$500,"천",리명4!$I$6:$I$500)</f>
        <v>0</v>
      </c>
      <c r="E74" s="26">
        <f>COUNTIF(리명4!$E$6:$E$500,"천")</f>
        <v>0</v>
      </c>
      <c r="F74" s="27" t="s">
        <v>4</v>
      </c>
      <c r="G74" s="28">
        <f>SUMIF(리명4!$E$6:$E$500,"천",리명4!$I$6:$I$500)</f>
        <v>0</v>
      </c>
      <c r="H74" s="26">
        <f>COUNTIF(리명4!$R$6:$R$500,"천국")</f>
        <v>0</v>
      </c>
      <c r="I74" s="27" t="s">
        <v>4</v>
      </c>
      <c r="J74" s="28">
        <f>SUMIF(리명4!$R$6:$R$500,"천국",리명4!$I$6:$I$500)</f>
        <v>0</v>
      </c>
      <c r="K74" s="26">
        <f>COUNTIF(리명4!$R$6:$R$500,"천국")</f>
        <v>0</v>
      </c>
      <c r="L74" s="27" t="s">
        <v>4</v>
      </c>
      <c r="M74" s="28">
        <f>SUMIF(리명4!$R$6:$R$500,"천국",리명4!$I$6:$I$500)</f>
        <v>0</v>
      </c>
      <c r="N74" s="26">
        <f>COUNTIF(리명4!$R$6:$R$500,"천공")</f>
        <v>0</v>
      </c>
      <c r="O74" s="27" t="s">
        <v>4</v>
      </c>
      <c r="P74" s="28">
        <f>SUMIF(리명4!$R$6:$R$500,"천공",리명4!$I$6:$I$500)</f>
        <v>0</v>
      </c>
      <c r="Q74" s="26">
        <f>COUNTIF(리명4!$R$6:$R$500,"천공")</f>
        <v>0</v>
      </c>
      <c r="R74" s="27" t="s">
        <v>4</v>
      </c>
      <c r="S74" s="28">
        <f>SUMIF(리명4!$R$6:$R$500,"천공",리명4!$I$6:$I$500)</f>
        <v>0</v>
      </c>
      <c r="T74" s="26">
        <f t="shared" si="6"/>
        <v>0</v>
      </c>
      <c r="U74" s="27" t="s">
        <v>4</v>
      </c>
      <c r="V74" s="28">
        <f t="shared" si="7"/>
        <v>0</v>
      </c>
      <c r="W74" s="26">
        <f t="shared" si="7"/>
        <v>0</v>
      </c>
      <c r="X74" s="27" t="s">
        <v>4</v>
      </c>
      <c r="Y74" s="28">
        <f t="shared" si="8"/>
        <v>0</v>
      </c>
      <c r="Z74" s="40"/>
      <c r="AA74" s="10"/>
      <c r="AB74" s="10"/>
      <c r="AC74" s="10"/>
      <c r="AD74" s="10"/>
      <c r="AE74" s="10"/>
      <c r="AF74" s="10"/>
      <c r="AG74" s="10"/>
      <c r="AH74" s="10"/>
    </row>
    <row r="75" spans="1:34" s="11" customFormat="1" ht="17.100000000000001" customHeight="1">
      <c r="A75" s="25" t="s">
        <v>12</v>
      </c>
      <c r="B75" s="26">
        <f>COUNTIF(리명4!$E$6:$E$500,"유")</f>
        <v>0</v>
      </c>
      <c r="C75" s="27" t="s">
        <v>4</v>
      </c>
      <c r="D75" s="28">
        <f>SUMIF(리명4!$E$6:$E$500,"유",리명4!$I$6:$I$500)</f>
        <v>0</v>
      </c>
      <c r="E75" s="26">
        <f>COUNTIF(리명4!$E$6:$E$500,"유")</f>
        <v>0</v>
      </c>
      <c r="F75" s="27" t="s">
        <v>4</v>
      </c>
      <c r="G75" s="28">
        <f>SUMIF(리명4!$E$6:$E$500,"유",리명4!$I$6:$I$500)</f>
        <v>0</v>
      </c>
      <c r="H75" s="26">
        <f>COUNTIF(리명4!$R$6:$R$500,"유국")</f>
        <v>0</v>
      </c>
      <c r="I75" s="27" t="s">
        <v>4</v>
      </c>
      <c r="J75" s="28">
        <f>SUMIF(리명4!$R$6:$R$500,"유국",리명4!$I$6:$I$500)</f>
        <v>0</v>
      </c>
      <c r="K75" s="26">
        <f>COUNTIF(리명4!$R$6:$R$500,"유국")</f>
        <v>0</v>
      </c>
      <c r="L75" s="27" t="s">
        <v>4</v>
      </c>
      <c r="M75" s="28">
        <f>SUMIF(리명4!$R$6:$R$500,"유국",리명4!$I$6:$I$500)</f>
        <v>0</v>
      </c>
      <c r="N75" s="26">
        <f>COUNTIF(리명4!$R$6:$R$500,"유공")</f>
        <v>0</v>
      </c>
      <c r="O75" s="27" t="s">
        <v>4</v>
      </c>
      <c r="P75" s="28">
        <f>SUMIF(리명4!$R$6:$R$500,"유공",리명4!$I$6:$I$500)</f>
        <v>0</v>
      </c>
      <c r="Q75" s="26">
        <f>COUNTIF(리명4!$R$6:$R$500,"유공")</f>
        <v>0</v>
      </c>
      <c r="R75" s="27" t="s">
        <v>4</v>
      </c>
      <c r="S75" s="28">
        <f>SUMIF(리명4!$R$6:$R$500,"유공",리명4!$I$6:$I$500)</f>
        <v>0</v>
      </c>
      <c r="T75" s="26">
        <f t="shared" si="6"/>
        <v>0</v>
      </c>
      <c r="U75" s="27" t="s">
        <v>4</v>
      </c>
      <c r="V75" s="28">
        <f t="shared" si="7"/>
        <v>0</v>
      </c>
      <c r="W75" s="26">
        <f t="shared" si="7"/>
        <v>0</v>
      </c>
      <c r="X75" s="27" t="s">
        <v>4</v>
      </c>
      <c r="Y75" s="28">
        <f t="shared" si="8"/>
        <v>0</v>
      </c>
      <c r="Z75" s="40"/>
      <c r="AA75" s="10"/>
      <c r="AB75" s="10"/>
      <c r="AC75" s="10"/>
      <c r="AD75" s="10"/>
      <c r="AE75" s="10"/>
      <c r="AF75" s="10"/>
      <c r="AG75" s="10"/>
      <c r="AH75" s="10"/>
    </row>
    <row r="76" spans="1:34" s="11" customFormat="1" ht="17.100000000000001" customHeight="1">
      <c r="A76" s="25" t="s">
        <v>13</v>
      </c>
      <c r="B76" s="26">
        <f>COUNTIF(리명4!$E$6:$E$500,"제")</f>
        <v>0</v>
      </c>
      <c r="C76" s="27" t="s">
        <v>4</v>
      </c>
      <c r="D76" s="28">
        <f>SUMIF(리명4!$E$6:$E$500,"제",리명4!$I$6:$I$500)</f>
        <v>0</v>
      </c>
      <c r="E76" s="26">
        <f>COUNTIF(리명4!$E$6:$E$500,"제")</f>
        <v>0</v>
      </c>
      <c r="F76" s="27" t="s">
        <v>4</v>
      </c>
      <c r="G76" s="28">
        <f>SUMIF(리명4!$E$6:$E$500,"제",리명4!$I$6:$I$500)</f>
        <v>0</v>
      </c>
      <c r="H76" s="26">
        <f>COUNTIF(리명4!$R$6:$R$500,"제국")</f>
        <v>0</v>
      </c>
      <c r="I76" s="27" t="s">
        <v>4</v>
      </c>
      <c r="J76" s="28">
        <f>SUMIF(리명4!$R$6:$R$500,"제국",리명4!$I$6:$I$500)</f>
        <v>0</v>
      </c>
      <c r="K76" s="26">
        <f>COUNTIF(리명4!$R$6:$R$500,"제국")</f>
        <v>0</v>
      </c>
      <c r="L76" s="27" t="s">
        <v>4</v>
      </c>
      <c r="M76" s="28">
        <f>SUMIF(리명4!$R$6:$R$500,"제국",리명4!$I$6:$I$500)</f>
        <v>0</v>
      </c>
      <c r="N76" s="26">
        <f>COUNTIF(리명4!$R$6:$R$500,"제공")</f>
        <v>0</v>
      </c>
      <c r="O76" s="27" t="s">
        <v>4</v>
      </c>
      <c r="P76" s="28">
        <f>SUMIF(리명4!$R$6:$R$500,"제공",리명4!$I$6:$I$500)</f>
        <v>0</v>
      </c>
      <c r="Q76" s="26">
        <f>COUNTIF(리명4!$R$6:$R$500,"제공")</f>
        <v>0</v>
      </c>
      <c r="R76" s="27" t="s">
        <v>4</v>
      </c>
      <c r="S76" s="28">
        <f>SUMIF(리명4!$R$6:$R$500,"제공",리명4!$I$6:$I$500)</f>
        <v>0</v>
      </c>
      <c r="T76" s="26">
        <f t="shared" si="6"/>
        <v>0</v>
      </c>
      <c r="U76" s="27" t="s">
        <v>4</v>
      </c>
      <c r="V76" s="28">
        <f t="shared" si="7"/>
        <v>0</v>
      </c>
      <c r="W76" s="26">
        <f t="shared" si="7"/>
        <v>0</v>
      </c>
      <c r="X76" s="27" t="s">
        <v>4</v>
      </c>
      <c r="Y76" s="28">
        <f t="shared" si="8"/>
        <v>0</v>
      </c>
      <c r="Z76" s="40"/>
      <c r="AA76" s="10"/>
      <c r="AB76" s="10"/>
      <c r="AC76" s="10"/>
      <c r="AD76" s="10"/>
      <c r="AE76" s="10"/>
      <c r="AF76" s="10"/>
      <c r="AG76" s="10"/>
      <c r="AH76" s="10"/>
    </row>
    <row r="77" spans="1:34" s="11" customFormat="1" ht="17.100000000000001" customHeight="1">
      <c r="A77" s="25" t="s">
        <v>14</v>
      </c>
      <c r="B77" s="26">
        <f>COUNTIF(리명4!$E$6:$E$500,"과")</f>
        <v>0</v>
      </c>
      <c r="C77" s="27" t="s">
        <v>4</v>
      </c>
      <c r="D77" s="28">
        <f>SUMIF(리명4!$E$6:$E$500,"과",리명4!$I$6:$I$500)</f>
        <v>0</v>
      </c>
      <c r="E77" s="26">
        <f>COUNTIF(리명4!$E$6:$E$500,"과")</f>
        <v>0</v>
      </c>
      <c r="F77" s="27" t="s">
        <v>4</v>
      </c>
      <c r="G77" s="28">
        <f>SUMIF(리명4!$E$6:$E$500,"과",리명4!$I$6:$I$500)</f>
        <v>0</v>
      </c>
      <c r="H77" s="26">
        <f>COUNTIF(리명4!$R$6:$R$500,"과국")</f>
        <v>0</v>
      </c>
      <c r="I77" s="27" t="s">
        <v>4</v>
      </c>
      <c r="J77" s="28">
        <f>SUMIF(리명4!$R$6:$R$500,"과국",리명4!$I$6:$I$500)</f>
        <v>0</v>
      </c>
      <c r="K77" s="26">
        <f>COUNTIF(리명4!$R$6:$R$500,"과국")</f>
        <v>0</v>
      </c>
      <c r="L77" s="27" t="s">
        <v>4</v>
      </c>
      <c r="M77" s="28">
        <f>SUMIF(리명4!$R$6:$R$500,"과국",리명4!$I$6:$I$500)</f>
        <v>0</v>
      </c>
      <c r="N77" s="26">
        <f>COUNTIF(리명4!$R$6:$R$500,"과공")</f>
        <v>0</v>
      </c>
      <c r="O77" s="27" t="s">
        <v>4</v>
      </c>
      <c r="P77" s="28">
        <f>SUMIF(리명4!$R$6:$R$500,"과공",리명4!$I$6:$I$500)</f>
        <v>0</v>
      </c>
      <c r="Q77" s="26">
        <f>COUNTIF(리명4!$R$6:$R$500,"과공")</f>
        <v>0</v>
      </c>
      <c r="R77" s="27" t="s">
        <v>4</v>
      </c>
      <c r="S77" s="28">
        <f>SUMIF(리명4!$R$6:$R$500,"과공",리명4!$I$6:$I$500)</f>
        <v>0</v>
      </c>
      <c r="T77" s="26">
        <f t="shared" si="6"/>
        <v>0</v>
      </c>
      <c r="U77" s="27" t="s">
        <v>4</v>
      </c>
      <c r="V77" s="28">
        <f t="shared" si="7"/>
        <v>0</v>
      </c>
      <c r="W77" s="26">
        <f t="shared" si="7"/>
        <v>0</v>
      </c>
      <c r="X77" s="27" t="s">
        <v>4</v>
      </c>
      <c r="Y77" s="28">
        <f t="shared" si="8"/>
        <v>0</v>
      </c>
      <c r="Z77" s="40"/>
      <c r="AA77" s="10"/>
      <c r="AB77" s="10"/>
      <c r="AC77" s="10"/>
      <c r="AD77" s="10"/>
      <c r="AE77" s="10"/>
      <c r="AF77" s="10"/>
      <c r="AG77" s="10"/>
      <c r="AH77" s="10"/>
    </row>
    <row r="78" spans="1:34" s="11" customFormat="1" ht="17.100000000000001" customHeight="1">
      <c r="A78" s="25" t="s">
        <v>15</v>
      </c>
      <c r="B78" s="26">
        <f>COUNTIF(리명4!$E$6:$E$500,"장")</f>
        <v>0</v>
      </c>
      <c r="C78" s="27" t="s">
        <v>4</v>
      </c>
      <c r="D78" s="28">
        <f>SUMIF(리명4!$E$6:$E$500,"장",리명4!$I$6:$I$500)</f>
        <v>0</v>
      </c>
      <c r="E78" s="26">
        <f>COUNTIF(리명4!$E$6:$E$500,"장")</f>
        <v>0</v>
      </c>
      <c r="F78" s="27" t="s">
        <v>4</v>
      </c>
      <c r="G78" s="28">
        <f>SUMIF(리명4!$E$6:$E$500,"장",리명4!$I$6:$I$500)</f>
        <v>0</v>
      </c>
      <c r="H78" s="26">
        <f>COUNTIF(리명4!$R$6:$R$500,"장국")</f>
        <v>0</v>
      </c>
      <c r="I78" s="27" t="s">
        <v>4</v>
      </c>
      <c r="J78" s="28">
        <f>SUMIF(리명4!$R$6:$R$500,"장국",리명4!$I$6:$I$500)</f>
        <v>0</v>
      </c>
      <c r="K78" s="26">
        <f>COUNTIF(리명4!$R$6:$R$500,"장국")</f>
        <v>0</v>
      </c>
      <c r="L78" s="27" t="s">
        <v>4</v>
      </c>
      <c r="M78" s="28">
        <f>SUMIF(리명4!$R$6:$R$500,"장국",리명4!$I$6:$I$500)</f>
        <v>0</v>
      </c>
      <c r="N78" s="26">
        <f>COUNTIF(리명4!$R$6:$R$500,"장공")</f>
        <v>0</v>
      </c>
      <c r="O78" s="27" t="s">
        <v>4</v>
      </c>
      <c r="P78" s="28">
        <f>SUMIF(리명4!$R$6:$R$500,"장공",리명4!$I$6:$I$500)</f>
        <v>0</v>
      </c>
      <c r="Q78" s="26">
        <f>COUNTIF(리명4!$R$6:$R$500,"장공")</f>
        <v>0</v>
      </c>
      <c r="R78" s="27" t="s">
        <v>4</v>
      </c>
      <c r="S78" s="28">
        <f>SUMIF(리명4!$R$6:$R$500,"장공",리명4!$I$6:$I$500)</f>
        <v>0</v>
      </c>
      <c r="T78" s="26">
        <f t="shared" si="6"/>
        <v>0</v>
      </c>
      <c r="U78" s="27" t="s">
        <v>4</v>
      </c>
      <c r="V78" s="28">
        <f t="shared" si="7"/>
        <v>0</v>
      </c>
      <c r="W78" s="26">
        <f t="shared" si="7"/>
        <v>0</v>
      </c>
      <c r="X78" s="27" t="s">
        <v>4</v>
      </c>
      <c r="Y78" s="28">
        <f t="shared" si="8"/>
        <v>0</v>
      </c>
      <c r="Z78" s="40"/>
      <c r="AA78" s="10"/>
      <c r="AB78" s="10"/>
      <c r="AC78" s="10"/>
      <c r="AD78" s="10"/>
      <c r="AE78" s="10"/>
      <c r="AF78" s="10"/>
      <c r="AG78" s="10"/>
      <c r="AH78" s="10"/>
    </row>
    <row r="79" spans="1:34" s="11" customFormat="1" ht="17.100000000000001" customHeight="1">
      <c r="A79" s="25" t="s">
        <v>16</v>
      </c>
      <c r="B79" s="26">
        <f>COUNTIF(리명4!$E$6:$E$500,"목")</f>
        <v>0</v>
      </c>
      <c r="C79" s="27" t="s">
        <v>4</v>
      </c>
      <c r="D79" s="28">
        <f>SUMIF(리명4!$E$6:$E$500,"목",리명4!$I$6:$I$500)</f>
        <v>0</v>
      </c>
      <c r="E79" s="26">
        <f>COUNTIF(리명4!$E$6:$E$500,"목")</f>
        <v>0</v>
      </c>
      <c r="F79" s="27" t="s">
        <v>4</v>
      </c>
      <c r="G79" s="28">
        <f>SUMIF(리명4!$E$6:$E$500,"목",리명4!$I$6:$I$500)</f>
        <v>0</v>
      </c>
      <c r="H79" s="26">
        <f>COUNTIF(리명4!$R$6:$R$500,"목국")</f>
        <v>0</v>
      </c>
      <c r="I79" s="27" t="s">
        <v>4</v>
      </c>
      <c r="J79" s="28">
        <f>SUMIF(리명4!$R$6:$R$500,"목국",리명4!$I$6:$I$500)</f>
        <v>0</v>
      </c>
      <c r="K79" s="26">
        <f>COUNTIF(리명4!$R$6:$R$500,"목국")</f>
        <v>0</v>
      </c>
      <c r="L79" s="27" t="s">
        <v>4</v>
      </c>
      <c r="M79" s="28">
        <f>SUMIF(리명4!$R$6:$R$500,"목국",리명4!$I$6:$I$500)</f>
        <v>0</v>
      </c>
      <c r="N79" s="26">
        <f>COUNTIF(리명4!$R$6:$R$500,"목공")</f>
        <v>0</v>
      </c>
      <c r="O79" s="27" t="s">
        <v>4</v>
      </c>
      <c r="P79" s="28">
        <f>SUMIF(리명4!$R$6:$R$500,"목공",리명4!$I$6:$I$500)</f>
        <v>0</v>
      </c>
      <c r="Q79" s="26">
        <f>COUNTIF(리명4!$R$6:$R$500,"목공")</f>
        <v>0</v>
      </c>
      <c r="R79" s="27" t="s">
        <v>4</v>
      </c>
      <c r="S79" s="28">
        <f>SUMIF(리명4!$R$6:$R$500,"목공",리명4!$I$6:$I$500)</f>
        <v>0</v>
      </c>
      <c r="T79" s="26">
        <f t="shared" si="6"/>
        <v>0</v>
      </c>
      <c r="U79" s="27" t="s">
        <v>4</v>
      </c>
      <c r="V79" s="28">
        <f t="shared" si="7"/>
        <v>0</v>
      </c>
      <c r="W79" s="26">
        <f t="shared" si="7"/>
        <v>0</v>
      </c>
      <c r="X79" s="27" t="s">
        <v>4</v>
      </c>
      <c r="Y79" s="28">
        <f t="shared" si="8"/>
        <v>0</v>
      </c>
      <c r="Z79" s="40"/>
      <c r="AA79" s="10"/>
      <c r="AB79" s="10"/>
      <c r="AC79" s="10"/>
      <c r="AD79" s="10"/>
      <c r="AE79" s="10"/>
      <c r="AF79" s="10"/>
      <c r="AG79" s="10"/>
      <c r="AH79" s="10"/>
    </row>
    <row r="80" spans="1:34" s="11" customFormat="1" ht="17.100000000000001" customHeight="1">
      <c r="A80" s="25" t="s">
        <v>17</v>
      </c>
      <c r="B80" s="26">
        <f>COUNTIF(리명4!$E$6:$E$500,"학")</f>
        <v>0</v>
      </c>
      <c r="C80" s="27" t="s">
        <v>4</v>
      </c>
      <c r="D80" s="28">
        <f>SUMIF(리명4!$E$6:$E$500,"학",리명4!$I$6:$I$500)</f>
        <v>0</v>
      </c>
      <c r="E80" s="26">
        <f>COUNTIF(리명4!$E$6:$E$500,"학")</f>
        <v>0</v>
      </c>
      <c r="F80" s="27" t="s">
        <v>4</v>
      </c>
      <c r="G80" s="28">
        <f>SUMIF(리명4!$E$6:$E$500,"학",리명4!$I$6:$I$500)</f>
        <v>0</v>
      </c>
      <c r="H80" s="26">
        <f>COUNTIF(리명4!$R$6:$R$500,"학국")</f>
        <v>0</v>
      </c>
      <c r="I80" s="27" t="s">
        <v>4</v>
      </c>
      <c r="J80" s="28">
        <f>SUMIF(리명4!$R$6:$R$500,"학국",리명4!$I$6:$I$500)</f>
        <v>0</v>
      </c>
      <c r="K80" s="26">
        <f>COUNTIF(리명4!$R$6:$R$500,"학국")</f>
        <v>0</v>
      </c>
      <c r="L80" s="27" t="s">
        <v>4</v>
      </c>
      <c r="M80" s="28">
        <f>SUMIF(리명4!$R$6:$R$500,"학국",리명4!$I$6:$I$500)</f>
        <v>0</v>
      </c>
      <c r="N80" s="26">
        <f>COUNTIF(리명4!$R$6:$R$500,"학공")</f>
        <v>0</v>
      </c>
      <c r="O80" s="27" t="s">
        <v>4</v>
      </c>
      <c r="P80" s="28">
        <f>SUMIF(리명4!$R$6:$R$500,"학공",리명4!$I$6:$I$500)</f>
        <v>0</v>
      </c>
      <c r="Q80" s="26">
        <f>COUNTIF(리명4!$R$6:$R$500,"학공")</f>
        <v>0</v>
      </c>
      <c r="R80" s="27" t="s">
        <v>4</v>
      </c>
      <c r="S80" s="28">
        <f>SUMIF(리명4!$R$6:$R$500,"학공",리명4!$I$6:$I$500)</f>
        <v>0</v>
      </c>
      <c r="T80" s="26">
        <f t="shared" si="6"/>
        <v>0</v>
      </c>
      <c r="U80" s="27" t="s">
        <v>4</v>
      </c>
      <c r="V80" s="28">
        <f t="shared" si="7"/>
        <v>0</v>
      </c>
      <c r="W80" s="26">
        <f t="shared" si="7"/>
        <v>0</v>
      </c>
      <c r="X80" s="27" t="s">
        <v>4</v>
      </c>
      <c r="Y80" s="28">
        <f t="shared" si="8"/>
        <v>0</v>
      </c>
      <c r="Z80" s="40"/>
      <c r="AA80" s="10"/>
      <c r="AB80" s="10"/>
      <c r="AC80" s="10"/>
      <c r="AD80" s="10"/>
      <c r="AE80" s="10"/>
      <c r="AF80" s="10"/>
      <c r="AG80" s="10"/>
      <c r="AH80" s="10"/>
    </row>
    <row r="81" spans="1:34" s="11" customFormat="1" ht="17.100000000000001" customHeight="1">
      <c r="A81" s="25" t="s">
        <v>18</v>
      </c>
      <c r="B81" s="26">
        <f>COUNTIF(리명4!$E$6:$E$500,"철")</f>
        <v>0</v>
      </c>
      <c r="C81" s="27" t="s">
        <v>4</v>
      </c>
      <c r="D81" s="28">
        <f>SUMIF(리명4!$E$6:$E$500,"철",리명4!$I$6:$I$500)</f>
        <v>0</v>
      </c>
      <c r="E81" s="26">
        <f>COUNTIF(리명4!$E$6:$E$500,"철")</f>
        <v>0</v>
      </c>
      <c r="F81" s="27" t="s">
        <v>4</v>
      </c>
      <c r="G81" s="28">
        <f>SUMIF(리명4!$E$6:$E$500,"철",리명4!$I$6:$I$500)</f>
        <v>0</v>
      </c>
      <c r="H81" s="26">
        <f>COUNTIF(리명4!$R$6:$R$500,"철국")</f>
        <v>0</v>
      </c>
      <c r="I81" s="27" t="s">
        <v>4</v>
      </c>
      <c r="J81" s="28">
        <f>SUMIF(리명4!$R$6:$R$500,"철국",리명4!$I$6:$I$500)</f>
        <v>0</v>
      </c>
      <c r="K81" s="26">
        <f>COUNTIF(리명4!$R$6:$R$500,"철국")</f>
        <v>0</v>
      </c>
      <c r="L81" s="27" t="s">
        <v>4</v>
      </c>
      <c r="M81" s="28">
        <f>SUMIF(리명4!$R$6:$R$500,"철국",리명4!$I$6:$I$500)</f>
        <v>0</v>
      </c>
      <c r="N81" s="26">
        <f>COUNTIF(리명4!$R$6:$R$500,"철공")</f>
        <v>0</v>
      </c>
      <c r="O81" s="27" t="s">
        <v>4</v>
      </c>
      <c r="P81" s="28">
        <f>SUMIF(리명4!$R$6:$R$500,"철공",리명4!$I$6:$I$500)</f>
        <v>0</v>
      </c>
      <c r="Q81" s="26">
        <f>COUNTIF(리명4!$R$6:$R$500,"철공")</f>
        <v>0</v>
      </c>
      <c r="R81" s="27" t="s">
        <v>4</v>
      </c>
      <c r="S81" s="28">
        <f>SUMIF(리명4!$R$6:$R$500,"철공",리명4!$I$6:$I$500)</f>
        <v>0</v>
      </c>
      <c r="T81" s="26">
        <f t="shared" si="6"/>
        <v>0</v>
      </c>
      <c r="U81" s="27" t="s">
        <v>4</v>
      </c>
      <c r="V81" s="28">
        <f t="shared" si="7"/>
        <v>0</v>
      </c>
      <c r="W81" s="26">
        <f t="shared" si="7"/>
        <v>0</v>
      </c>
      <c r="X81" s="27" t="s">
        <v>4</v>
      </c>
      <c r="Y81" s="28">
        <f t="shared" si="8"/>
        <v>0</v>
      </c>
      <c r="Z81" s="40"/>
      <c r="AA81" s="10"/>
      <c r="AB81" s="10"/>
      <c r="AC81" s="10"/>
      <c r="AD81" s="10"/>
      <c r="AE81" s="10"/>
      <c r="AF81" s="10"/>
      <c r="AG81" s="10"/>
      <c r="AH81" s="10"/>
    </row>
    <row r="82" spans="1:34" s="11" customFormat="1" ht="17.100000000000001" customHeight="1">
      <c r="A82" s="25" t="s">
        <v>19</v>
      </c>
      <c r="B82" s="26">
        <f>COUNTIF(리명4!$E$6:$E$500,"묘")</f>
        <v>0</v>
      </c>
      <c r="C82" s="27" t="s">
        <v>4</v>
      </c>
      <c r="D82" s="28">
        <f>SUMIF(리명4!$E$6:$E$500,"묘",리명4!$I$6:$I$500)</f>
        <v>0</v>
      </c>
      <c r="E82" s="26">
        <f>COUNTIF(리명4!$E$6:$E$500,"묘")</f>
        <v>0</v>
      </c>
      <c r="F82" s="27" t="s">
        <v>4</v>
      </c>
      <c r="G82" s="28">
        <f>SUMIF(리명4!$E$6:$E$500,"묘",리명4!$I$6:$I$500)</f>
        <v>0</v>
      </c>
      <c r="H82" s="26">
        <f>COUNTIF(리명4!$R$6:$R$500,"묘국")</f>
        <v>0</v>
      </c>
      <c r="I82" s="27" t="s">
        <v>4</v>
      </c>
      <c r="J82" s="28">
        <f>SUMIF(리명4!$R$6:$R$500,"묘국",리명4!$I$6:$I$500)</f>
        <v>0</v>
      </c>
      <c r="K82" s="26">
        <f>COUNTIF(리명4!$R$6:$R$500,"묘국")</f>
        <v>0</v>
      </c>
      <c r="L82" s="27" t="s">
        <v>4</v>
      </c>
      <c r="M82" s="28">
        <f>SUMIF(리명4!$R$6:$R$500,"묘국",리명4!$I$6:$I$500)</f>
        <v>0</v>
      </c>
      <c r="N82" s="26">
        <f>COUNTIF(리명4!$R$6:$R$500,"묘공")</f>
        <v>0</v>
      </c>
      <c r="O82" s="27" t="s">
        <v>4</v>
      </c>
      <c r="P82" s="28">
        <f>SUMIF(리명4!$R$6:$R$500,"묘공",리명4!$I$6:$I$500)</f>
        <v>0</v>
      </c>
      <c r="Q82" s="26">
        <f>COUNTIF(리명4!$R$6:$R$500,"묘공")</f>
        <v>0</v>
      </c>
      <c r="R82" s="27" t="s">
        <v>4</v>
      </c>
      <c r="S82" s="28">
        <f>SUMIF(리명4!$R$6:$R$500,"묘공",리명4!$I$6:$I$500)</f>
        <v>0</v>
      </c>
      <c r="T82" s="26">
        <f t="shared" si="6"/>
        <v>0</v>
      </c>
      <c r="U82" s="27" t="s">
        <v>4</v>
      </c>
      <c r="V82" s="28">
        <f t="shared" si="7"/>
        <v>0</v>
      </c>
      <c r="W82" s="26">
        <f t="shared" si="7"/>
        <v>0</v>
      </c>
      <c r="X82" s="27" t="s">
        <v>4</v>
      </c>
      <c r="Y82" s="28">
        <f t="shared" si="8"/>
        <v>0</v>
      </c>
      <c r="Z82" s="40"/>
      <c r="AA82" s="10"/>
      <c r="AB82" s="10"/>
      <c r="AC82" s="10"/>
      <c r="AD82" s="10"/>
      <c r="AE82" s="10"/>
      <c r="AF82" s="10"/>
      <c r="AG82" s="10"/>
      <c r="AH82" s="10"/>
    </row>
    <row r="83" spans="1:34" s="11" customFormat="1" ht="17.100000000000001" customHeight="1">
      <c r="A83" s="25" t="s">
        <v>20</v>
      </c>
      <c r="B83" s="26">
        <f>COUNTIF(리명4!$E$6:$E$500,"수")</f>
        <v>0</v>
      </c>
      <c r="C83" s="27" t="s">
        <v>4</v>
      </c>
      <c r="D83" s="28">
        <f>SUMIF(리명4!$E$6:$E$500,"수",리명4!$I$6:$I$500)</f>
        <v>0</v>
      </c>
      <c r="E83" s="26">
        <f>COUNTIF(리명4!$E$6:$E$500,"수")</f>
        <v>0</v>
      </c>
      <c r="F83" s="27" t="s">
        <v>4</v>
      </c>
      <c r="G83" s="28">
        <f>SUMIF(리명4!$E$6:$E$500,"수",리명4!$I$6:$I$500)</f>
        <v>0</v>
      </c>
      <c r="H83" s="26">
        <f>COUNTIF(리명4!$R$6:$R$500,"수국")</f>
        <v>0</v>
      </c>
      <c r="I83" s="27" t="s">
        <v>4</v>
      </c>
      <c r="J83" s="28">
        <f>SUMIF(리명4!$R$6:$R$500,"수국",리명4!$I$6:$I$500)</f>
        <v>0</v>
      </c>
      <c r="K83" s="26">
        <f>COUNTIF(리명4!$R$6:$R$500,"수국")</f>
        <v>0</v>
      </c>
      <c r="L83" s="27" t="s">
        <v>4</v>
      </c>
      <c r="M83" s="28">
        <f>SUMIF(리명4!$R$6:$R$500,"수국",리명4!$I$6:$I$500)</f>
        <v>0</v>
      </c>
      <c r="N83" s="26">
        <f>COUNTIF(리명4!$R$6:$R$500,"수공")</f>
        <v>0</v>
      </c>
      <c r="O83" s="27" t="s">
        <v>4</v>
      </c>
      <c r="P83" s="28">
        <f>SUMIF(리명4!$R$6:$R$500,"수공",리명4!$I$6:$I$500)</f>
        <v>0</v>
      </c>
      <c r="Q83" s="26">
        <f>COUNTIF(리명4!$R$6:$R$500,"수공")</f>
        <v>0</v>
      </c>
      <c r="R83" s="27" t="s">
        <v>4</v>
      </c>
      <c r="S83" s="28">
        <f>SUMIF(리명4!$R$6:$R$500,"수공",리명4!$I$6:$I$500)</f>
        <v>0</v>
      </c>
      <c r="T83" s="26">
        <f t="shared" si="6"/>
        <v>0</v>
      </c>
      <c r="U83" s="27" t="s">
        <v>4</v>
      </c>
      <c r="V83" s="28">
        <f t="shared" si="7"/>
        <v>0</v>
      </c>
      <c r="W83" s="26">
        <f t="shared" si="7"/>
        <v>0</v>
      </c>
      <c r="X83" s="27" t="s">
        <v>4</v>
      </c>
      <c r="Y83" s="28">
        <f t="shared" si="8"/>
        <v>0</v>
      </c>
      <c r="Z83" s="40"/>
      <c r="AA83" s="10"/>
      <c r="AB83" s="10"/>
      <c r="AC83" s="10"/>
      <c r="AD83" s="10"/>
      <c r="AE83" s="10"/>
      <c r="AF83" s="10"/>
      <c r="AG83" s="10"/>
      <c r="AH83" s="10"/>
    </row>
    <row r="84" spans="1:34" s="11" customFormat="1" ht="17.100000000000001" customHeight="1">
      <c r="A84" s="25" t="s">
        <v>21</v>
      </c>
      <c r="B84" s="26">
        <f>COUNTIF(리명4!$E$6:$E$500,"잡")</f>
        <v>0</v>
      </c>
      <c r="C84" s="27" t="s">
        <v>4</v>
      </c>
      <c r="D84" s="28">
        <f>SUMIF(리명4!$E$6:$E$500,"잡",리명4!$I$6:$I$500)</f>
        <v>0</v>
      </c>
      <c r="E84" s="26">
        <f>COUNTIF(리명4!$E$6:$E$500,"잡")</f>
        <v>0</v>
      </c>
      <c r="F84" s="27" t="s">
        <v>4</v>
      </c>
      <c r="G84" s="28">
        <f>SUMIF(리명4!$E$6:$E$500,"잡",리명4!$I$6:$I$500)</f>
        <v>0</v>
      </c>
      <c r="H84" s="26">
        <f>COUNTIF(리명4!$R$6:$R$500,"잡국")</f>
        <v>0</v>
      </c>
      <c r="I84" s="27" t="s">
        <v>4</v>
      </c>
      <c r="J84" s="28">
        <f>SUMIF(리명4!$R$6:$R$500,"잡국",리명4!$I$6:$I$500)</f>
        <v>0</v>
      </c>
      <c r="K84" s="26">
        <f>COUNTIF(리명4!$R$6:$R$500,"잡국")</f>
        <v>0</v>
      </c>
      <c r="L84" s="27" t="s">
        <v>4</v>
      </c>
      <c r="M84" s="28">
        <f>SUMIF(리명4!$R$6:$R$500,"잡국",리명4!$I$6:$I$500)</f>
        <v>0</v>
      </c>
      <c r="N84" s="26">
        <f>COUNTIF(리명4!$R$6:$R$500,"잡공")</f>
        <v>0</v>
      </c>
      <c r="O84" s="27" t="s">
        <v>4</v>
      </c>
      <c r="P84" s="28">
        <f>SUMIF(리명4!$R$6:$R$500,"잡공",리명4!$I$6:$I$500)</f>
        <v>0</v>
      </c>
      <c r="Q84" s="26">
        <f>COUNTIF(리명4!$R$6:$R$500,"잡공")</f>
        <v>0</v>
      </c>
      <c r="R84" s="27" t="s">
        <v>4</v>
      </c>
      <c r="S84" s="28">
        <f>SUMIF(리명4!$R$6:$R$500,"잡공",리명4!$I$6:$I$500)</f>
        <v>0</v>
      </c>
      <c r="T84" s="26">
        <f t="shared" si="6"/>
        <v>0</v>
      </c>
      <c r="U84" s="27" t="s">
        <v>4</v>
      </c>
      <c r="V84" s="28">
        <f t="shared" si="7"/>
        <v>0</v>
      </c>
      <c r="W84" s="26">
        <f t="shared" si="7"/>
        <v>0</v>
      </c>
      <c r="X84" s="27" t="s">
        <v>4</v>
      </c>
      <c r="Y84" s="28">
        <f t="shared" si="8"/>
        <v>0</v>
      </c>
      <c r="Z84" s="40"/>
      <c r="AA84" s="10"/>
      <c r="AB84" s="10"/>
      <c r="AC84" s="10"/>
      <c r="AD84" s="10"/>
      <c r="AE84" s="10"/>
      <c r="AF84" s="10"/>
      <c r="AG84" s="10"/>
      <c r="AH84" s="10"/>
    </row>
    <row r="85" spans="1:34" s="11" customFormat="1" ht="17.100000000000001" customHeight="1">
      <c r="A85" s="25" t="s">
        <v>22</v>
      </c>
      <c r="B85" s="26">
        <f>COUNTIF(리명4!$E$6:$E$500,"종")</f>
        <v>0</v>
      </c>
      <c r="C85" s="27" t="s">
        <v>4</v>
      </c>
      <c r="D85" s="28">
        <f>SUMIF(리명4!$E$6:$E$500,"종",리명4!$I$6:$I$500)</f>
        <v>0</v>
      </c>
      <c r="E85" s="26">
        <f>COUNTIF(리명4!$E$6:$E$500,"종")</f>
        <v>0</v>
      </c>
      <c r="F85" s="27" t="s">
        <v>4</v>
      </c>
      <c r="G85" s="28">
        <f>SUMIF(리명4!$E$6:$E$500,"종",리명4!$I$6:$I$500)</f>
        <v>0</v>
      </c>
      <c r="H85" s="26">
        <f>COUNTIF(리명4!$R$6:$R$500,"종국")</f>
        <v>0</v>
      </c>
      <c r="I85" s="27" t="s">
        <v>4</v>
      </c>
      <c r="J85" s="28">
        <f>SUMIF(리명4!$R$6:$R$500,"종국",리명4!$I$6:$I$500)</f>
        <v>0</v>
      </c>
      <c r="K85" s="26">
        <f>COUNTIF(리명4!$R$6:$R$500,"종국")</f>
        <v>0</v>
      </c>
      <c r="L85" s="27" t="s">
        <v>4</v>
      </c>
      <c r="M85" s="28">
        <f>SUMIF(리명4!$R$6:$R$500,"종국",리명4!$I$6:$I$500)</f>
        <v>0</v>
      </c>
      <c r="N85" s="26">
        <f>COUNTIF(리명4!$R$6:$R$500,"종공")</f>
        <v>0</v>
      </c>
      <c r="O85" s="27" t="s">
        <v>4</v>
      </c>
      <c r="P85" s="28">
        <f>SUMIF(리명4!$R$6:$R$500,"종공",리명4!$I$6:$I$500)</f>
        <v>0</v>
      </c>
      <c r="Q85" s="26">
        <f>COUNTIF(리명4!$R$6:$R$500,"종공")</f>
        <v>0</v>
      </c>
      <c r="R85" s="27" t="s">
        <v>4</v>
      </c>
      <c r="S85" s="28">
        <f>SUMIF(리명4!$R$6:$R$500,"종공",리명4!$I$6:$I$500)</f>
        <v>0</v>
      </c>
      <c r="T85" s="26">
        <f t="shared" si="6"/>
        <v>0</v>
      </c>
      <c r="U85" s="27" t="s">
        <v>4</v>
      </c>
      <c r="V85" s="28">
        <f t="shared" si="7"/>
        <v>0</v>
      </c>
      <c r="W85" s="26">
        <f t="shared" si="7"/>
        <v>0</v>
      </c>
      <c r="X85" s="27" t="s">
        <v>4</v>
      </c>
      <c r="Y85" s="28">
        <f t="shared" si="8"/>
        <v>0</v>
      </c>
      <c r="Z85" s="40"/>
      <c r="AA85" s="10"/>
      <c r="AB85" s="10"/>
      <c r="AC85" s="10"/>
      <c r="AD85" s="10"/>
      <c r="AE85" s="10"/>
      <c r="AF85" s="10"/>
      <c r="AG85" s="10"/>
      <c r="AH85" s="10"/>
    </row>
    <row r="86" spans="1:34" s="11" customFormat="1" ht="17.100000000000001" customHeight="1">
      <c r="A86" s="30" t="s">
        <v>23</v>
      </c>
      <c r="B86" s="26">
        <f>COUNTIF(리명4!$E$6:$E$500,"염")</f>
        <v>0</v>
      </c>
      <c r="C86" s="27" t="s">
        <v>4</v>
      </c>
      <c r="D86" s="28">
        <f>SUMIF(리명4!$E$6:$E$500,"염",리명4!$I$6:$I$500)</f>
        <v>0</v>
      </c>
      <c r="E86" s="26">
        <f>COUNTIF(리명4!$E$6:$E$500,"염")</f>
        <v>0</v>
      </c>
      <c r="F86" s="27" t="s">
        <v>4</v>
      </c>
      <c r="G86" s="28">
        <f>SUMIF(리명4!$E$6:$E$500,"염",리명4!$I$6:$I$500)</f>
        <v>0</v>
      </c>
      <c r="H86" s="26">
        <f>COUNTIF(리명4!$R$6:$R$500,"염국")</f>
        <v>0</v>
      </c>
      <c r="I86" s="27" t="s">
        <v>4</v>
      </c>
      <c r="J86" s="28">
        <f>SUMIF(리명4!$R$6:$R$500,"염국",리명4!$I$6:$I$500)</f>
        <v>0</v>
      </c>
      <c r="K86" s="26">
        <f>COUNTIF(리명4!$R$6:$R$500,"염국")</f>
        <v>0</v>
      </c>
      <c r="L86" s="27" t="s">
        <v>4</v>
      </c>
      <c r="M86" s="28">
        <f>SUMIF(리명4!$R$6:$R$500,"염국",리명4!$I$6:$I$500)</f>
        <v>0</v>
      </c>
      <c r="N86" s="26">
        <f>COUNTIF(리명4!$R$6:$R$500,"염공")</f>
        <v>0</v>
      </c>
      <c r="O86" s="27" t="s">
        <v>4</v>
      </c>
      <c r="P86" s="28">
        <f>SUMIF(리명4!$R$6:$R$500,"염공",리명4!$I$6:$I$500)</f>
        <v>0</v>
      </c>
      <c r="Q86" s="26">
        <f>COUNTIF(리명4!$R$6:$R$500,"염공")</f>
        <v>0</v>
      </c>
      <c r="R86" s="27" t="s">
        <v>4</v>
      </c>
      <c r="S86" s="28">
        <f>SUMIF(리명4!$R$6:$R$500,"염공",리명4!$I$6:$I$500)</f>
        <v>0</v>
      </c>
      <c r="T86" s="26">
        <f t="shared" si="6"/>
        <v>0</v>
      </c>
      <c r="U86" s="27" t="s">
        <v>4</v>
      </c>
      <c r="V86" s="28">
        <f t="shared" si="7"/>
        <v>0</v>
      </c>
      <c r="W86" s="26">
        <f t="shared" si="7"/>
        <v>0</v>
      </c>
      <c r="X86" s="27" t="s">
        <v>4</v>
      </c>
      <c r="Y86" s="28">
        <f t="shared" si="8"/>
        <v>0</v>
      </c>
      <c r="Z86" s="40"/>
      <c r="AA86" s="10"/>
      <c r="AB86" s="10"/>
      <c r="AC86" s="10"/>
      <c r="AD86" s="10"/>
      <c r="AE86" s="10"/>
      <c r="AF86" s="10"/>
      <c r="AG86" s="10"/>
      <c r="AH86" s="10"/>
    </row>
    <row r="87" spans="1:34" s="11" customFormat="1" ht="17.100000000000001" customHeight="1">
      <c r="A87" s="30" t="s">
        <v>24</v>
      </c>
      <c r="B87" s="26">
        <f>COUNTIF(리명4!$E$6:$E$500,"공")</f>
        <v>0</v>
      </c>
      <c r="C87" s="27" t="s">
        <v>4</v>
      </c>
      <c r="D87" s="28">
        <f>SUMIF(리명4!$E$6:$E$500,"공",리명4!$I$6:$I$500)</f>
        <v>0</v>
      </c>
      <c r="E87" s="26">
        <f>COUNTIF(리명4!$E$6:$E$500,"공")</f>
        <v>0</v>
      </c>
      <c r="F87" s="27" t="s">
        <v>4</v>
      </c>
      <c r="G87" s="28">
        <f>SUMIF(리명4!$E$6:$E$500,"공",리명4!$I$6:$I$500)</f>
        <v>0</v>
      </c>
      <c r="H87" s="26">
        <f>COUNTIF(리명4!$R$6:$R$500,"공국")</f>
        <v>0</v>
      </c>
      <c r="I87" s="27" t="s">
        <v>4</v>
      </c>
      <c r="J87" s="28">
        <f>SUMIF(리명4!$R$6:$R$500,"공국",리명4!$I$6:$I$500)</f>
        <v>0</v>
      </c>
      <c r="K87" s="26">
        <f>COUNTIF(리명4!$R$6:$R$500,"공국")</f>
        <v>0</v>
      </c>
      <c r="L87" s="27" t="s">
        <v>4</v>
      </c>
      <c r="M87" s="28">
        <f>SUMIF(리명4!$R$6:$R$500,"공국",리명4!$I$6:$I$500)</f>
        <v>0</v>
      </c>
      <c r="N87" s="26">
        <f>COUNTIF(리명4!$R$6:$R$500,"공공")</f>
        <v>0</v>
      </c>
      <c r="O87" s="27" t="s">
        <v>4</v>
      </c>
      <c r="P87" s="28">
        <f>SUMIF(리명4!$R$6:$R$500,"공공",리명4!$I$6:$I$500)</f>
        <v>0</v>
      </c>
      <c r="Q87" s="26">
        <f>COUNTIF(리명4!$R$6:$R$500,"공공")</f>
        <v>0</v>
      </c>
      <c r="R87" s="27" t="s">
        <v>4</v>
      </c>
      <c r="S87" s="28">
        <f>SUMIF(리명4!$R$6:$R$500,"공공",리명4!$I$6:$I$500)</f>
        <v>0</v>
      </c>
      <c r="T87" s="26">
        <f t="shared" si="6"/>
        <v>0</v>
      </c>
      <c r="U87" s="27" t="s">
        <v>4</v>
      </c>
      <c r="V87" s="28">
        <f t="shared" si="7"/>
        <v>0</v>
      </c>
      <c r="W87" s="26">
        <f t="shared" si="7"/>
        <v>0</v>
      </c>
      <c r="X87" s="27" t="s">
        <v>4</v>
      </c>
      <c r="Y87" s="28">
        <f t="shared" si="8"/>
        <v>0</v>
      </c>
      <c r="Z87" s="40"/>
      <c r="AA87" s="10"/>
      <c r="AB87" s="10"/>
      <c r="AC87" s="10"/>
      <c r="AD87" s="10"/>
      <c r="AE87" s="10"/>
      <c r="AF87" s="10"/>
      <c r="AG87" s="10"/>
      <c r="AH87" s="10"/>
    </row>
    <row r="88" spans="1:34" s="11" customFormat="1" ht="17.100000000000001" customHeight="1">
      <c r="A88" s="30" t="s">
        <v>25</v>
      </c>
      <c r="B88" s="26">
        <f>COUNTIF(리명4!$E$6:$E$500,"체")</f>
        <v>0</v>
      </c>
      <c r="C88" s="27" t="s">
        <v>4</v>
      </c>
      <c r="D88" s="28">
        <f>SUMIF(리명4!$E$6:$E$500,"체",리명4!$I$6:$I$500)</f>
        <v>0</v>
      </c>
      <c r="E88" s="26">
        <f>COUNTIF(리명4!$E$6:$E$500,"체")</f>
        <v>0</v>
      </c>
      <c r="F88" s="27" t="s">
        <v>4</v>
      </c>
      <c r="G88" s="28">
        <f>SUMIF(리명4!$E$6:$E$500,"체",리명4!$I$6:$I$500)</f>
        <v>0</v>
      </c>
      <c r="H88" s="26">
        <f>COUNTIF(리명4!$R$6:$R$500,"체국")</f>
        <v>0</v>
      </c>
      <c r="I88" s="27" t="s">
        <v>4</v>
      </c>
      <c r="J88" s="28">
        <f>SUMIF(리명4!$R$6:$R$500,"체국",리명4!$I$6:$I$500)</f>
        <v>0</v>
      </c>
      <c r="K88" s="26">
        <f>COUNTIF(리명4!$R$6:$R$500,"체국")</f>
        <v>0</v>
      </c>
      <c r="L88" s="27" t="s">
        <v>4</v>
      </c>
      <c r="M88" s="28">
        <f>SUMIF(리명4!$R$6:$R$500,"체국",리명4!$I$6:$I$500)</f>
        <v>0</v>
      </c>
      <c r="N88" s="26">
        <f>COUNTIF(리명4!$R$6:$R$500,"체공")</f>
        <v>0</v>
      </c>
      <c r="O88" s="27" t="s">
        <v>4</v>
      </c>
      <c r="P88" s="28">
        <f>SUMIF(리명4!$R$6:$R$500,"체공",리명4!$I$6:$I$500)</f>
        <v>0</v>
      </c>
      <c r="Q88" s="26">
        <f>COUNTIF(리명4!$R$6:$R$500,"체공")</f>
        <v>0</v>
      </c>
      <c r="R88" s="27" t="s">
        <v>4</v>
      </c>
      <c r="S88" s="28">
        <f>SUMIF(리명4!$R$6:$R$500,"체공",리명4!$I$6:$I$500)</f>
        <v>0</v>
      </c>
      <c r="T88" s="26">
        <f t="shared" si="6"/>
        <v>0</v>
      </c>
      <c r="U88" s="27" t="s">
        <v>4</v>
      </c>
      <c r="V88" s="28">
        <f t="shared" si="7"/>
        <v>0</v>
      </c>
      <c r="W88" s="26">
        <f t="shared" si="7"/>
        <v>0</v>
      </c>
      <c r="X88" s="27" t="s">
        <v>4</v>
      </c>
      <c r="Y88" s="28">
        <f t="shared" si="8"/>
        <v>0</v>
      </c>
      <c r="Z88" s="40"/>
      <c r="AA88" s="10"/>
      <c r="AB88" s="10"/>
      <c r="AC88" s="10"/>
      <c r="AD88" s="10"/>
      <c r="AE88" s="10"/>
      <c r="AF88" s="10"/>
      <c r="AG88" s="10"/>
      <c r="AH88" s="10"/>
    </row>
    <row r="89" spans="1:34" s="11" customFormat="1" ht="17.100000000000001" customHeight="1">
      <c r="A89" s="30" t="s">
        <v>26</v>
      </c>
      <c r="B89" s="26">
        <f>COUNTIF(리명4!$E$6:$E$500,"원")</f>
        <v>0</v>
      </c>
      <c r="C89" s="27" t="s">
        <v>4</v>
      </c>
      <c r="D89" s="28">
        <f>SUMIF(리명4!$E$6:$E$500,"원",리명4!$I$6:$I$500)</f>
        <v>0</v>
      </c>
      <c r="E89" s="26">
        <f>COUNTIF(리명4!$E$6:$E$500,"원")</f>
        <v>0</v>
      </c>
      <c r="F89" s="27" t="s">
        <v>4</v>
      </c>
      <c r="G89" s="28">
        <f>SUMIF(리명4!$E$6:$E$500,"원",리명4!$I$6:$I$500)</f>
        <v>0</v>
      </c>
      <c r="H89" s="26">
        <f>COUNTIF(리명4!$R$6:$R$500,"원국")</f>
        <v>0</v>
      </c>
      <c r="I89" s="27" t="s">
        <v>4</v>
      </c>
      <c r="J89" s="28">
        <f>SUMIF(리명4!$R$6:$R$500,"원국",리명4!$I$6:$I$500)</f>
        <v>0</v>
      </c>
      <c r="K89" s="26">
        <f>COUNTIF(리명4!$R$6:$R$500,"원국")</f>
        <v>0</v>
      </c>
      <c r="L89" s="27" t="s">
        <v>4</v>
      </c>
      <c r="M89" s="28">
        <f>SUMIF(리명4!$R$6:$R$500,"원국",리명4!$I$6:$I$500)</f>
        <v>0</v>
      </c>
      <c r="N89" s="26">
        <f>COUNTIF(리명4!$R$6:$R$500,"원공")</f>
        <v>0</v>
      </c>
      <c r="O89" s="27" t="s">
        <v>4</v>
      </c>
      <c r="P89" s="28">
        <f>SUMIF(리명4!$R$6:$R$500,"원공",리명4!$I$6:$I$500)</f>
        <v>0</v>
      </c>
      <c r="Q89" s="26">
        <f>COUNTIF(리명4!$R$6:$R$500,"원공")</f>
        <v>0</v>
      </c>
      <c r="R89" s="27" t="s">
        <v>4</v>
      </c>
      <c r="S89" s="28">
        <f>SUMIF(리명4!$R$6:$R$500,"원공",리명4!$I$6:$I$500)</f>
        <v>0</v>
      </c>
      <c r="T89" s="26">
        <f t="shared" si="6"/>
        <v>0</v>
      </c>
      <c r="U89" s="27" t="s">
        <v>4</v>
      </c>
      <c r="V89" s="28">
        <f t="shared" si="7"/>
        <v>0</v>
      </c>
      <c r="W89" s="26">
        <f t="shared" si="7"/>
        <v>0</v>
      </c>
      <c r="X89" s="27" t="s">
        <v>4</v>
      </c>
      <c r="Y89" s="28">
        <f t="shared" si="8"/>
        <v>0</v>
      </c>
      <c r="Z89" s="40"/>
      <c r="AA89" s="10"/>
      <c r="AB89" s="10"/>
      <c r="AC89" s="10"/>
      <c r="AD89" s="10"/>
      <c r="AE89" s="10"/>
      <c r="AF89" s="10"/>
      <c r="AG89" s="10"/>
      <c r="AH89" s="10"/>
    </row>
    <row r="90" spans="1:34" s="11" customFormat="1" ht="17.100000000000001" customHeight="1">
      <c r="A90" s="30" t="s">
        <v>43</v>
      </c>
      <c r="B90" s="26">
        <f>COUNTIF(리명4!$E$6:$E$500,"주")</f>
        <v>0</v>
      </c>
      <c r="C90" s="27" t="s">
        <v>4</v>
      </c>
      <c r="D90" s="28">
        <f>SUMIF(리명4!$E$6:$E$500,"주",리명4!$I$6:$I$500)</f>
        <v>0</v>
      </c>
      <c r="E90" s="26">
        <f>COUNTIF(리명4!$E$6:$E$500,"주")</f>
        <v>0</v>
      </c>
      <c r="F90" s="27" t="s">
        <v>4</v>
      </c>
      <c r="G90" s="28">
        <f>SUMIF(리명4!$E$6:$E$500,"주",리명4!$I$6:$I$500)</f>
        <v>0</v>
      </c>
      <c r="H90" s="26">
        <f>COUNTIF(리명4!$R$6:$R$500,"주국")</f>
        <v>0</v>
      </c>
      <c r="I90" s="27" t="s">
        <v>4</v>
      </c>
      <c r="J90" s="28">
        <f>SUMIF(리명4!$R$6:$R$500,"주국",리명4!$I$6:$I$500)</f>
        <v>0</v>
      </c>
      <c r="K90" s="26">
        <f>COUNTIF(리명4!$R$6:$R$500,"주국")</f>
        <v>0</v>
      </c>
      <c r="L90" s="27" t="s">
        <v>4</v>
      </c>
      <c r="M90" s="28">
        <f>SUMIF(리명4!$R$6:$R$500,"주국",리명4!$I$6:$I$500)</f>
        <v>0</v>
      </c>
      <c r="N90" s="26">
        <f>COUNTIF(리명4!$R$6:$R$500,"주공")</f>
        <v>0</v>
      </c>
      <c r="O90" s="27" t="s">
        <v>4</v>
      </c>
      <c r="P90" s="28">
        <f>SUMIF(리명4!$R$6:$R$500,"주공",리명4!$I$6:$I$500)</f>
        <v>0</v>
      </c>
      <c r="Q90" s="26">
        <f>COUNTIF(리명4!$R$6:$R$500,"주공")</f>
        <v>0</v>
      </c>
      <c r="R90" s="27" t="s">
        <v>4</v>
      </c>
      <c r="S90" s="28">
        <f>SUMIF(리명4!$R$6:$R$500,"주공",리명4!$I$6:$I$500)</f>
        <v>0</v>
      </c>
      <c r="T90" s="26">
        <f t="shared" si="6"/>
        <v>0</v>
      </c>
      <c r="U90" s="27" t="s">
        <v>4</v>
      </c>
      <c r="V90" s="28">
        <f t="shared" si="7"/>
        <v>0</v>
      </c>
      <c r="W90" s="26">
        <f t="shared" si="7"/>
        <v>0</v>
      </c>
      <c r="X90" s="27" t="s">
        <v>4</v>
      </c>
      <c r="Y90" s="28">
        <f t="shared" si="8"/>
        <v>0</v>
      </c>
      <c r="Z90" s="40"/>
      <c r="AA90" s="10"/>
      <c r="AB90" s="10"/>
      <c r="AC90" s="10"/>
      <c r="AD90" s="10"/>
      <c r="AE90" s="10"/>
      <c r="AF90" s="10"/>
      <c r="AG90" s="10"/>
      <c r="AH90" s="10"/>
    </row>
    <row r="91" spans="1:34" s="11" customFormat="1" ht="17.100000000000001" customHeight="1">
      <c r="A91" s="30" t="s">
        <v>0</v>
      </c>
      <c r="B91" s="26">
        <f>COUNTIF(리명4!$E$6:$E$500,"창")</f>
        <v>0</v>
      </c>
      <c r="C91" s="27" t="s">
        <v>4</v>
      </c>
      <c r="D91" s="28">
        <f>SUMIF(리명4!$E$6:$E$500,"창",리명4!$I$6:$I$500)</f>
        <v>0</v>
      </c>
      <c r="E91" s="26">
        <f>COUNTIF(리명4!$E$6:$E$500,"창")</f>
        <v>0</v>
      </c>
      <c r="F91" s="27" t="s">
        <v>4</v>
      </c>
      <c r="G91" s="28">
        <f>SUMIF(리명4!$E$6:$E$500,"창",리명4!$I$6:$I$500)</f>
        <v>0</v>
      </c>
      <c r="H91" s="26">
        <f>COUNTIF(리명4!$R$6:$R$500,"창국")</f>
        <v>0</v>
      </c>
      <c r="I91" s="27" t="s">
        <v>4</v>
      </c>
      <c r="J91" s="28">
        <f>SUMIF(리명4!$R$6:$R$500,"창국",리명4!$I$6:$I$500)</f>
        <v>0</v>
      </c>
      <c r="K91" s="26">
        <f>COUNTIF(리명4!$R$6:$R$500,"창국")</f>
        <v>0</v>
      </c>
      <c r="L91" s="27" t="s">
        <v>4</v>
      </c>
      <c r="M91" s="28">
        <f>SUMIF(리명4!$R$6:$R$500,"창국",리명4!$I$6:$I$500)</f>
        <v>0</v>
      </c>
      <c r="N91" s="26">
        <f>COUNTIF(리명4!$R$6:$R$500,"창공")</f>
        <v>0</v>
      </c>
      <c r="O91" s="27" t="s">
        <v>4</v>
      </c>
      <c r="P91" s="28">
        <f>SUMIF(리명4!$R$6:$R$500,"창공",리명4!$I$6:$I$500)</f>
        <v>0</v>
      </c>
      <c r="Q91" s="26">
        <f>COUNTIF(리명4!$R$6:$R$500,"창공")</f>
        <v>0</v>
      </c>
      <c r="R91" s="27" t="s">
        <v>4</v>
      </c>
      <c r="S91" s="28">
        <f>SUMIF(리명4!$R$6:$R$500,"창공",리명4!$I$6:$I$500)</f>
        <v>0</v>
      </c>
      <c r="T91" s="26">
        <f t="shared" si="6"/>
        <v>0</v>
      </c>
      <c r="U91" s="27" t="s">
        <v>4</v>
      </c>
      <c r="V91" s="28">
        <f t="shared" si="7"/>
        <v>0</v>
      </c>
      <c r="W91" s="26">
        <f t="shared" si="7"/>
        <v>0</v>
      </c>
      <c r="X91" s="27" t="s">
        <v>4</v>
      </c>
      <c r="Y91" s="28">
        <f t="shared" si="8"/>
        <v>0</v>
      </c>
      <c r="Z91" s="40"/>
      <c r="AA91" s="10"/>
      <c r="AB91" s="10"/>
      <c r="AC91" s="10"/>
      <c r="AD91" s="10"/>
      <c r="AE91" s="10"/>
      <c r="AF91" s="10"/>
      <c r="AG91" s="10"/>
      <c r="AH91" s="10"/>
    </row>
    <row r="92" spans="1:34" s="11" customFormat="1" ht="17.100000000000001" customHeight="1">
      <c r="A92" s="31" t="s">
        <v>42</v>
      </c>
      <c r="B92" s="32">
        <f>COUNTIF(리명4!$E$6:$E$500," ")</f>
        <v>0</v>
      </c>
      <c r="C92" s="33" t="s">
        <v>4</v>
      </c>
      <c r="D92" s="34">
        <f>SUMIF(리명4!$E$6:$E$500," ",리명4!$I$6:$I$500)</f>
        <v>0</v>
      </c>
      <c r="E92" s="32">
        <f>COUNTIF(리명4!$E$6:$E$500," ")</f>
        <v>0</v>
      </c>
      <c r="F92" s="33" t="s">
        <v>4</v>
      </c>
      <c r="G92" s="34">
        <f>SUMIF(리명4!$E$6:$E$500," ",리명4!$I$6:$I$500)</f>
        <v>0</v>
      </c>
      <c r="H92" s="32">
        <f>COUNTIF(리명4!$R$6:$R$500," ")</f>
        <v>0</v>
      </c>
      <c r="I92" s="33" t="s">
        <v>4</v>
      </c>
      <c r="J92" s="34">
        <f>SUMIF(리명4!$R$6:$R$500," ",리명4!$I$6:$I$500)</f>
        <v>0</v>
      </c>
      <c r="K92" s="32">
        <f>COUNTIF(리명4!$R$6:$R$500," ")</f>
        <v>0</v>
      </c>
      <c r="L92" s="33" t="s">
        <v>4</v>
      </c>
      <c r="M92" s="34">
        <f>SUMIF(리명4!$R$6:$R$500," ",리명4!$I$6:$I$500)</f>
        <v>0</v>
      </c>
      <c r="N92" s="32">
        <f>COUNTIF(리명4!$R$6:$R$500," ")</f>
        <v>0</v>
      </c>
      <c r="O92" s="33" t="s">
        <v>4</v>
      </c>
      <c r="P92" s="34">
        <f>SUMIF(리명4!$R$6:$R$500," ",리명4!$I$6:$I$500)</f>
        <v>0</v>
      </c>
      <c r="Q92" s="32">
        <f>COUNTIF(리명4!$R$6:$R$500," ")</f>
        <v>0</v>
      </c>
      <c r="R92" s="33" t="s">
        <v>4</v>
      </c>
      <c r="S92" s="34">
        <f>SUMIF(리명4!$R$6:$R$500," ",리명4!$I$6:$I$500)</f>
        <v>0</v>
      </c>
      <c r="T92" s="32">
        <f t="shared" si="6"/>
        <v>0</v>
      </c>
      <c r="U92" s="33" t="s">
        <v>4</v>
      </c>
      <c r="V92" s="34">
        <f t="shared" si="7"/>
        <v>0</v>
      </c>
      <c r="W92" s="32">
        <f t="shared" si="7"/>
        <v>0</v>
      </c>
      <c r="X92" s="33" t="s">
        <v>4</v>
      </c>
      <c r="Y92" s="34">
        <f t="shared" si="8"/>
        <v>0</v>
      </c>
      <c r="Z92" s="41"/>
      <c r="AA92" s="10"/>
      <c r="AB92" s="10"/>
      <c r="AC92" s="10"/>
      <c r="AD92" s="10"/>
      <c r="AE92" s="10"/>
      <c r="AF92" s="10"/>
      <c r="AG92" s="10"/>
      <c r="AH92" s="10"/>
    </row>
  </sheetData>
  <mergeCells count="51">
    <mergeCell ref="V2:Z2"/>
    <mergeCell ref="A3:A5"/>
    <mergeCell ref="B3:G3"/>
    <mergeCell ref="H3:M3"/>
    <mergeCell ref="N3:S3"/>
    <mergeCell ref="T3:Y3"/>
    <mergeCell ref="Z3:Z5"/>
    <mergeCell ref="B4:D4"/>
    <mergeCell ref="E4:G4"/>
    <mergeCell ref="H4:J4"/>
    <mergeCell ref="T4:V4"/>
    <mergeCell ref="W4:Y4"/>
    <mergeCell ref="A34:A36"/>
    <mergeCell ref="B34:D34"/>
    <mergeCell ref="E34:G34"/>
    <mergeCell ref="H34:J34"/>
    <mergeCell ref="K34:M34"/>
    <mergeCell ref="B35:D35"/>
    <mergeCell ref="E35:G35"/>
    <mergeCell ref="H35:J35"/>
    <mergeCell ref="K35:M35"/>
    <mergeCell ref="N35:P35"/>
    <mergeCell ref="K4:M4"/>
    <mergeCell ref="N4:P4"/>
    <mergeCell ref="Q64:S64"/>
    <mergeCell ref="N34:P34"/>
    <mergeCell ref="Q34:S34"/>
    <mergeCell ref="Q4:S4"/>
    <mergeCell ref="N64:P64"/>
    <mergeCell ref="T34:V34"/>
    <mergeCell ref="W34:Y34"/>
    <mergeCell ref="Z34:Z36"/>
    <mergeCell ref="T65:V65"/>
    <mergeCell ref="Q35:S35"/>
    <mergeCell ref="T35:V35"/>
    <mergeCell ref="W35:Y35"/>
    <mergeCell ref="W65:Y65"/>
    <mergeCell ref="T64:V64"/>
    <mergeCell ref="W64:Y64"/>
    <mergeCell ref="Z64:Z66"/>
    <mergeCell ref="N65:P65"/>
    <mergeCell ref="Q65:S65"/>
    <mergeCell ref="A64:A66"/>
    <mergeCell ref="B64:D64"/>
    <mergeCell ref="E64:G64"/>
    <mergeCell ref="H64:J64"/>
    <mergeCell ref="K64:M64"/>
    <mergeCell ref="B65:D65"/>
    <mergeCell ref="E65:G65"/>
    <mergeCell ref="H65:J65"/>
    <mergeCell ref="K65:M65"/>
  </mergeCells>
  <phoneticPr fontId="5" type="noConversion"/>
  <printOptions horizontalCentered="1"/>
  <pageMargins left="0.39370078740157483" right="0.39370078740157483" top="0.27559055118110237" bottom="0.27559055118110237" header="0.39370078740157483" footer="0.19685039370078741"/>
  <pageSetup paperSize="9" orientation="landscape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X259"/>
  <sheetViews>
    <sheetView showGridLines="0" showZeros="0" view="pageBreakPreview" zoomScaleSheetLayoutView="100" workbookViewId="0">
      <selection activeCell="B9" sqref="B9:Y9"/>
    </sheetView>
  </sheetViews>
  <sheetFormatPr defaultRowHeight="11.25"/>
  <cols>
    <col min="1" max="1" width="3.77734375" style="50" customWidth="1"/>
    <col min="2" max="2" width="8.77734375" style="50" customWidth="1"/>
    <col min="3" max="3" width="3.77734375" style="50" customWidth="1"/>
    <col min="4" max="5" width="8.77734375" style="50" customWidth="1"/>
    <col min="6" max="6" width="8.77734375" style="74" customWidth="1"/>
    <col min="7" max="7" width="10.77734375" style="50" customWidth="1"/>
    <col min="8" max="8" width="20.77734375" style="50" customWidth="1"/>
    <col min="9" max="10" width="5.33203125" style="50" customWidth="1"/>
    <col min="11" max="11" width="6.6640625" style="50" customWidth="1"/>
    <col min="12" max="12" width="4.77734375" style="50" customWidth="1"/>
    <col min="13" max="14" width="8" style="75" customWidth="1"/>
    <col min="15" max="19" width="9.77734375" style="50" customWidth="1"/>
    <col min="20" max="20" width="10.77734375" style="50" customWidth="1"/>
    <col min="21" max="21" width="10.77734375" style="50" bestFit="1" customWidth="1"/>
    <col min="22" max="16384" width="8.88671875" style="50"/>
  </cols>
  <sheetData>
    <row r="1" spans="1:20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</row>
    <row r="2" spans="1:20" ht="20.100000000000001" customHeight="1">
      <c r="A2" s="46"/>
      <c r="B2" s="46"/>
      <c r="C2" s="46"/>
      <c r="D2" s="46"/>
      <c r="E2" s="46"/>
      <c r="F2" s="47"/>
      <c r="G2" s="46"/>
      <c r="H2" s="46"/>
      <c r="J2" s="106"/>
      <c r="K2" s="48"/>
      <c r="L2" s="134" t="s">
        <v>69</v>
      </c>
      <c r="M2" s="49"/>
      <c r="N2" s="49"/>
      <c r="O2" s="46"/>
      <c r="P2" s="46"/>
      <c r="Q2" s="46"/>
      <c r="R2" s="46"/>
      <c r="S2" s="46"/>
      <c r="T2" s="46"/>
    </row>
    <row r="3" spans="1:20" ht="10.35" customHeight="1">
      <c r="A3" s="46"/>
      <c r="B3" s="46"/>
      <c r="C3" s="46"/>
      <c r="D3" s="46"/>
      <c r="E3" s="46"/>
      <c r="F3" s="47"/>
      <c r="G3" s="46"/>
      <c r="H3" s="46"/>
      <c r="I3" s="46"/>
      <c r="J3" s="46"/>
      <c r="K3" s="46"/>
      <c r="L3" s="134"/>
      <c r="M3" s="51"/>
      <c r="N3" s="51"/>
      <c r="O3" s="46"/>
      <c r="P3" s="46"/>
      <c r="Q3" s="46"/>
      <c r="R3" s="46"/>
      <c r="S3" s="46"/>
      <c r="T3" s="46"/>
    </row>
    <row r="4" spans="1:20" s="54" customFormat="1" ht="24.95" customHeight="1">
      <c r="A4" s="107" t="s">
        <v>33</v>
      </c>
      <c r="B4" s="391" t="s">
        <v>59</v>
      </c>
      <c r="C4" s="367" t="s">
        <v>60</v>
      </c>
      <c r="D4" s="393" t="s">
        <v>64</v>
      </c>
      <c r="E4" s="405" t="s">
        <v>63</v>
      </c>
      <c r="F4" s="405"/>
      <c r="G4" s="369" t="s">
        <v>36</v>
      </c>
      <c r="H4" s="369"/>
      <c r="I4" s="369" t="s">
        <v>37</v>
      </c>
      <c r="J4" s="369"/>
      <c r="K4" s="369"/>
      <c r="L4" s="398" t="s">
        <v>27</v>
      </c>
      <c r="M4" s="52"/>
      <c r="N4" s="52"/>
      <c r="O4" s="53"/>
      <c r="P4" s="53"/>
      <c r="Q4" s="53"/>
      <c r="R4" s="53"/>
      <c r="S4" s="53"/>
      <c r="T4" s="53"/>
    </row>
    <row r="5" spans="1:20" s="54" customFormat="1" ht="24.95" customHeight="1">
      <c r="A5" s="108" t="s">
        <v>38</v>
      </c>
      <c r="B5" s="392"/>
      <c r="C5" s="368"/>
      <c r="D5" s="394"/>
      <c r="E5" s="136" t="s">
        <v>65</v>
      </c>
      <c r="F5" s="136" t="s">
        <v>44</v>
      </c>
      <c r="G5" s="110" t="s">
        <v>39</v>
      </c>
      <c r="H5" s="109" t="s">
        <v>40</v>
      </c>
      <c r="I5" s="110" t="s">
        <v>39</v>
      </c>
      <c r="J5" s="110" t="s">
        <v>40</v>
      </c>
      <c r="K5" s="109" t="s">
        <v>54</v>
      </c>
      <c r="L5" s="399"/>
      <c r="M5" s="55"/>
      <c r="N5" s="55"/>
      <c r="O5" s="56"/>
      <c r="P5" s="56"/>
      <c r="Q5" s="56"/>
      <c r="R5" s="56"/>
      <c r="S5" s="56"/>
      <c r="T5" s="57"/>
    </row>
    <row r="6" spans="1:20" s="62" customFormat="1" ht="30" customHeight="1">
      <c r="A6" s="111">
        <v>1</v>
      </c>
      <c r="B6" s="122"/>
      <c r="C6" s="112"/>
      <c r="D6" s="112"/>
      <c r="E6" s="112"/>
      <c r="F6" s="113"/>
      <c r="G6" s="112"/>
      <c r="H6" s="112"/>
      <c r="I6" s="114"/>
      <c r="J6" s="114"/>
      <c r="K6" s="114"/>
      <c r="L6" s="115"/>
      <c r="M6" s="60" t="e">
        <f>CONCATENATE(#REF!,G6)</f>
        <v>#REF!</v>
      </c>
      <c r="N6" s="60" t="str">
        <f t="shared" ref="N6:N70" si="0">CONCATENATE(C6,G6)</f>
        <v/>
      </c>
      <c r="O6" s="61" t="str">
        <f t="shared" ref="O6:O30" si="1">IF(D6&gt;=F6,"-","err")</f>
        <v>-</v>
      </c>
      <c r="P6" s="61" t="str">
        <f>IF(E6=0,"1","2")</f>
        <v>1</v>
      </c>
      <c r="Q6" s="61">
        <v>60300</v>
      </c>
      <c r="R6" s="61"/>
      <c r="S6" s="61"/>
      <c r="T6" s="61"/>
    </row>
    <row r="7" spans="1:20" s="62" customFormat="1" ht="30" customHeight="1">
      <c r="A7" s="111">
        <v>2</v>
      </c>
      <c r="B7" s="122"/>
      <c r="C7" s="112"/>
      <c r="D7" s="112"/>
      <c r="E7" s="112"/>
      <c r="F7" s="113"/>
      <c r="G7" s="112"/>
      <c r="H7" s="112"/>
      <c r="I7" s="114"/>
      <c r="J7" s="114"/>
      <c r="K7" s="114"/>
      <c r="L7" s="115"/>
      <c r="M7" s="60" t="e">
        <f>CONCATENATE(#REF!,G7)</f>
        <v>#REF!</v>
      </c>
      <c r="N7" s="60" t="str">
        <f t="shared" si="0"/>
        <v/>
      </c>
      <c r="O7" s="61" t="str">
        <f t="shared" si="1"/>
        <v>-</v>
      </c>
      <c r="P7" s="61" t="str">
        <f t="shared" ref="P7:P29" si="2">IF(E7=0,"1","2")</f>
        <v>1</v>
      </c>
      <c r="Q7" s="61">
        <v>60300</v>
      </c>
      <c r="R7" s="61">
        <f>Q7*F7*2</f>
        <v>0</v>
      </c>
      <c r="S7" s="61"/>
      <c r="T7" s="61"/>
    </row>
    <row r="8" spans="1:20" s="62" customFormat="1" ht="30" customHeight="1">
      <c r="A8" s="111">
        <v>3</v>
      </c>
      <c r="B8" s="122"/>
      <c r="C8" s="112"/>
      <c r="D8" s="112"/>
      <c r="E8" s="112"/>
      <c r="F8" s="135"/>
      <c r="G8" s="112"/>
      <c r="H8" s="112"/>
      <c r="I8" s="114"/>
      <c r="J8" s="114"/>
      <c r="K8" s="114"/>
      <c r="L8" s="115"/>
      <c r="M8" s="60" t="e">
        <f>CONCATENATE(#REF!,G8)</f>
        <v>#REF!</v>
      </c>
      <c r="N8" s="60" t="str">
        <f t="shared" si="0"/>
        <v/>
      </c>
      <c r="O8" s="61" t="str">
        <f t="shared" si="1"/>
        <v>-</v>
      </c>
      <c r="P8" s="61" t="str">
        <f t="shared" si="2"/>
        <v>1</v>
      </c>
      <c r="Q8" s="61">
        <v>28800</v>
      </c>
      <c r="R8" s="61"/>
      <c r="S8" s="61"/>
      <c r="T8" s="61"/>
    </row>
    <row r="9" spans="1:20" s="62" customFormat="1" ht="30" customHeight="1">
      <c r="A9" s="111">
        <v>4</v>
      </c>
      <c r="B9" s="122"/>
      <c r="C9" s="112"/>
      <c r="D9" s="112"/>
      <c r="E9" s="112"/>
      <c r="F9" s="135"/>
      <c r="G9" s="112"/>
      <c r="H9" s="112"/>
      <c r="I9" s="114"/>
      <c r="J9" s="114"/>
      <c r="K9" s="114"/>
      <c r="L9" s="115"/>
      <c r="M9" s="60" t="e">
        <f>CONCATENATE(#REF!,G9)</f>
        <v>#REF!</v>
      </c>
      <c r="N9" s="60" t="str">
        <f t="shared" si="0"/>
        <v/>
      </c>
      <c r="O9" s="61" t="str">
        <f t="shared" si="1"/>
        <v>-</v>
      </c>
      <c r="P9" s="61" t="str">
        <f t="shared" si="2"/>
        <v>1</v>
      </c>
      <c r="Q9" s="61">
        <v>60300</v>
      </c>
      <c r="R9" s="61"/>
      <c r="S9" s="61"/>
      <c r="T9" s="61"/>
    </row>
    <row r="10" spans="1:20" s="62" customFormat="1" ht="30" customHeight="1">
      <c r="A10" s="111">
        <v>5</v>
      </c>
      <c r="B10" s="122"/>
      <c r="C10" s="112"/>
      <c r="D10" s="112"/>
      <c r="E10" s="112"/>
      <c r="F10" s="135"/>
      <c r="G10" s="112"/>
      <c r="H10" s="112"/>
      <c r="I10" s="114"/>
      <c r="J10" s="114"/>
      <c r="K10" s="114"/>
      <c r="L10" s="115"/>
      <c r="M10" s="60" t="e">
        <f>CONCATENATE(#REF!,G10)</f>
        <v>#REF!</v>
      </c>
      <c r="N10" s="60" t="str">
        <f t="shared" si="0"/>
        <v/>
      </c>
      <c r="O10" s="61" t="str">
        <f t="shared" si="1"/>
        <v>-</v>
      </c>
      <c r="P10" s="61" t="str">
        <f t="shared" si="2"/>
        <v>1</v>
      </c>
      <c r="Q10" s="61">
        <v>38900</v>
      </c>
      <c r="R10" s="61"/>
      <c r="S10" s="61"/>
      <c r="T10" s="61"/>
    </row>
    <row r="11" spans="1:20" s="62" customFormat="1" ht="30" customHeight="1">
      <c r="A11" s="111">
        <v>6</v>
      </c>
      <c r="B11" s="122"/>
      <c r="C11" s="112"/>
      <c r="D11" s="112"/>
      <c r="E11" s="112"/>
      <c r="F11" s="135"/>
      <c r="G11" s="112"/>
      <c r="H11" s="112"/>
      <c r="I11" s="114"/>
      <c r="J11" s="114"/>
      <c r="K11" s="114"/>
      <c r="L11" s="115"/>
      <c r="M11" s="60" t="e">
        <f>CONCATENATE(#REF!,G11)</f>
        <v>#REF!</v>
      </c>
      <c r="N11" s="60" t="str">
        <f t="shared" si="0"/>
        <v/>
      </c>
      <c r="O11" s="61" t="str">
        <f t="shared" si="1"/>
        <v>-</v>
      </c>
      <c r="P11" s="61" t="str">
        <f t="shared" si="2"/>
        <v>1</v>
      </c>
      <c r="Q11" s="61">
        <v>60300</v>
      </c>
      <c r="R11" s="61"/>
      <c r="S11" s="61"/>
      <c r="T11" s="61"/>
    </row>
    <row r="12" spans="1:20" s="62" customFormat="1" ht="30" customHeight="1">
      <c r="A12" s="111">
        <v>7</v>
      </c>
      <c r="B12" s="122"/>
      <c r="C12" s="112"/>
      <c r="D12" s="112"/>
      <c r="E12" s="112"/>
      <c r="F12" s="135"/>
      <c r="G12" s="112"/>
      <c r="H12" s="112"/>
      <c r="I12" s="114"/>
      <c r="J12" s="114"/>
      <c r="K12" s="114"/>
      <c r="L12" s="115"/>
      <c r="M12" s="60" t="e">
        <f>CONCATENATE(#REF!,G12)</f>
        <v>#REF!</v>
      </c>
      <c r="N12" s="60" t="str">
        <f t="shared" si="0"/>
        <v/>
      </c>
      <c r="O12" s="61" t="str">
        <f t="shared" si="1"/>
        <v>-</v>
      </c>
      <c r="P12" s="61" t="str">
        <f t="shared" si="2"/>
        <v>1</v>
      </c>
      <c r="Q12" s="61">
        <v>60300</v>
      </c>
      <c r="R12" s="61"/>
      <c r="S12" s="61"/>
      <c r="T12" s="61"/>
    </row>
    <row r="13" spans="1:20" s="62" customFormat="1" ht="30" customHeight="1">
      <c r="A13" s="111">
        <v>8</v>
      </c>
      <c r="B13" s="122"/>
      <c r="C13" s="112"/>
      <c r="D13" s="112"/>
      <c r="E13" s="112"/>
      <c r="F13" s="112"/>
      <c r="G13" s="112"/>
      <c r="H13" s="112"/>
      <c r="I13" s="114"/>
      <c r="J13" s="114"/>
      <c r="K13" s="114"/>
      <c r="L13" s="115"/>
      <c r="M13" s="60" t="e">
        <f>CONCATENATE(#REF!,G13)</f>
        <v>#REF!</v>
      </c>
      <c r="N13" s="60" t="str">
        <f t="shared" si="0"/>
        <v/>
      </c>
      <c r="O13" s="61" t="str">
        <f t="shared" si="1"/>
        <v>-</v>
      </c>
      <c r="P13" s="61" t="str">
        <f t="shared" si="2"/>
        <v>1</v>
      </c>
      <c r="Q13" s="61">
        <v>38900</v>
      </c>
      <c r="R13" s="61"/>
      <c r="S13" s="61"/>
      <c r="T13" s="61"/>
    </row>
    <row r="14" spans="1:20" s="62" customFormat="1" ht="30" customHeight="1">
      <c r="A14" s="111">
        <v>9</v>
      </c>
      <c r="B14" s="122"/>
      <c r="C14" s="112"/>
      <c r="D14" s="112"/>
      <c r="E14" s="112"/>
      <c r="F14" s="112"/>
      <c r="G14" s="112"/>
      <c r="H14" s="112"/>
      <c r="I14" s="114"/>
      <c r="J14" s="114"/>
      <c r="K14" s="114"/>
      <c r="L14" s="115"/>
      <c r="M14" s="60" t="e">
        <f>CONCATENATE(#REF!,G14)</f>
        <v>#REF!</v>
      </c>
      <c r="N14" s="60" t="str">
        <f t="shared" si="0"/>
        <v/>
      </c>
      <c r="O14" s="61" t="str">
        <f t="shared" si="1"/>
        <v>-</v>
      </c>
      <c r="P14" s="61" t="str">
        <f t="shared" si="2"/>
        <v>1</v>
      </c>
      <c r="Q14" s="61">
        <v>60300</v>
      </c>
      <c r="R14" s="61"/>
      <c r="S14" s="61"/>
      <c r="T14" s="61"/>
    </row>
    <row r="15" spans="1:20" s="62" customFormat="1" ht="30" customHeight="1">
      <c r="A15" s="111">
        <v>10</v>
      </c>
      <c r="B15" s="122"/>
      <c r="C15" s="112"/>
      <c r="D15" s="112"/>
      <c r="E15" s="112"/>
      <c r="F15" s="112"/>
      <c r="G15" s="112"/>
      <c r="H15" s="112"/>
      <c r="I15" s="114"/>
      <c r="J15" s="114"/>
      <c r="K15" s="114"/>
      <c r="L15" s="115"/>
      <c r="M15" s="60" t="e">
        <f>CONCATENATE(#REF!,G15)</f>
        <v>#REF!</v>
      </c>
      <c r="N15" s="60" t="str">
        <f t="shared" si="0"/>
        <v/>
      </c>
      <c r="O15" s="61" t="str">
        <f t="shared" si="1"/>
        <v>-</v>
      </c>
      <c r="P15" s="61" t="str">
        <f t="shared" si="2"/>
        <v>1</v>
      </c>
      <c r="Q15" s="61">
        <v>38900</v>
      </c>
      <c r="R15" s="61"/>
      <c r="S15" s="61"/>
      <c r="T15" s="61"/>
    </row>
    <row r="16" spans="1:20" s="62" customFormat="1" ht="30" customHeight="1">
      <c r="A16" s="111">
        <v>11</v>
      </c>
      <c r="B16" s="122"/>
      <c r="C16" s="112"/>
      <c r="D16" s="112"/>
      <c r="E16" s="112"/>
      <c r="F16" s="135"/>
      <c r="G16" s="112"/>
      <c r="H16" s="112"/>
      <c r="I16" s="124"/>
      <c r="J16" s="114"/>
      <c r="K16" s="114"/>
      <c r="L16" s="115"/>
      <c r="M16" s="60" t="e">
        <f>CONCATENATE(#REF!,G16)</f>
        <v>#REF!</v>
      </c>
      <c r="N16" s="60" t="str">
        <f t="shared" si="0"/>
        <v/>
      </c>
      <c r="O16" s="61" t="str">
        <f t="shared" si="1"/>
        <v>-</v>
      </c>
      <c r="P16" s="61" t="str">
        <f t="shared" si="2"/>
        <v>1</v>
      </c>
      <c r="Q16" s="61">
        <v>38900</v>
      </c>
      <c r="R16" s="61"/>
      <c r="S16" s="61"/>
      <c r="T16" s="61"/>
    </row>
    <row r="17" spans="1:76" s="133" customFormat="1" ht="30" customHeight="1">
      <c r="A17" s="111">
        <v>12</v>
      </c>
      <c r="B17" s="122"/>
      <c r="C17" s="112"/>
      <c r="D17" s="112"/>
      <c r="E17" s="112"/>
      <c r="F17" s="135"/>
      <c r="G17" s="112"/>
      <c r="H17" s="112"/>
      <c r="I17" s="114"/>
      <c r="J17" s="114"/>
      <c r="K17" s="114"/>
      <c r="L17" s="115"/>
      <c r="M17" s="131" t="e">
        <f>CONCATENATE(#REF!,G17)</f>
        <v>#REF!</v>
      </c>
      <c r="N17" s="131" t="str">
        <f t="shared" si="0"/>
        <v/>
      </c>
      <c r="O17" s="132" t="str">
        <f t="shared" si="1"/>
        <v>-</v>
      </c>
      <c r="P17" s="61" t="str">
        <f t="shared" si="2"/>
        <v>1</v>
      </c>
      <c r="Q17" s="132">
        <v>60800</v>
      </c>
      <c r="R17" s="61"/>
      <c r="S17" s="132"/>
      <c r="T17" s="132"/>
    </row>
    <row r="18" spans="1:76" s="133" customFormat="1" ht="30" customHeight="1">
      <c r="A18" s="111">
        <v>13</v>
      </c>
      <c r="B18" s="122"/>
      <c r="C18" s="112"/>
      <c r="D18" s="112"/>
      <c r="E18" s="112"/>
      <c r="F18" s="112"/>
      <c r="G18" s="112"/>
      <c r="H18" s="112"/>
      <c r="I18" s="114"/>
      <c r="J18" s="114"/>
      <c r="K18" s="114"/>
      <c r="L18" s="115"/>
      <c r="M18" s="131"/>
      <c r="N18" s="131" t="str">
        <f t="shared" si="0"/>
        <v/>
      </c>
      <c r="O18" s="132" t="str">
        <f t="shared" si="1"/>
        <v>-</v>
      </c>
      <c r="P18" s="61" t="str">
        <f t="shared" si="2"/>
        <v>1</v>
      </c>
      <c r="Q18" s="132">
        <v>72200</v>
      </c>
      <c r="R18" s="61"/>
      <c r="S18" s="132"/>
      <c r="T18" s="132"/>
    </row>
    <row r="19" spans="1:76" s="62" customFormat="1" ht="30" customHeight="1">
      <c r="A19" s="111">
        <v>14</v>
      </c>
      <c r="B19" s="122"/>
      <c r="C19" s="112"/>
      <c r="D19" s="112"/>
      <c r="E19" s="112"/>
      <c r="F19" s="112"/>
      <c r="G19" s="112"/>
      <c r="H19" s="112"/>
      <c r="I19" s="114"/>
      <c r="J19" s="114"/>
      <c r="K19" s="114"/>
      <c r="L19" s="115"/>
      <c r="M19" s="60" t="e">
        <f>CONCATENATE(#REF!,G19)</f>
        <v>#REF!</v>
      </c>
      <c r="N19" s="60" t="str">
        <f>CONCATENATE(C19,G19)</f>
        <v/>
      </c>
      <c r="O19" s="61" t="str">
        <f t="shared" si="1"/>
        <v>-</v>
      </c>
      <c r="P19" s="61" t="str">
        <f t="shared" si="2"/>
        <v>1</v>
      </c>
      <c r="Q19" s="61">
        <v>38900</v>
      </c>
      <c r="R19" s="61"/>
      <c r="S19" s="61"/>
      <c r="T19" s="61"/>
    </row>
    <row r="20" spans="1:76" s="62" customFormat="1" ht="30" customHeight="1">
      <c r="A20" s="111">
        <v>15</v>
      </c>
      <c r="B20" s="122"/>
      <c r="C20" s="112"/>
      <c r="D20" s="112"/>
      <c r="E20" s="112"/>
      <c r="F20" s="112"/>
      <c r="G20" s="112"/>
      <c r="H20" s="112"/>
      <c r="I20" s="114"/>
      <c r="J20" s="114"/>
      <c r="K20" s="114"/>
      <c r="L20" s="115"/>
      <c r="M20" s="60" t="e">
        <f>CONCATENATE(#REF!,G20)</f>
        <v>#REF!</v>
      </c>
      <c r="N20" s="60" t="str">
        <f>CONCATENATE(C20,G20)</f>
        <v/>
      </c>
      <c r="O20" s="61" t="str">
        <f t="shared" si="1"/>
        <v>-</v>
      </c>
      <c r="P20" s="61" t="str">
        <f t="shared" si="2"/>
        <v>1</v>
      </c>
      <c r="Q20" s="61">
        <v>54000</v>
      </c>
      <c r="R20" s="61"/>
      <c r="S20" s="61"/>
      <c r="T20" s="61"/>
    </row>
    <row r="21" spans="1:76" s="62" customFormat="1" ht="30" customHeight="1">
      <c r="A21" s="111">
        <v>16</v>
      </c>
      <c r="B21" s="122"/>
      <c r="C21" s="112"/>
      <c r="D21" s="112"/>
      <c r="E21" s="112"/>
      <c r="F21" s="112"/>
      <c r="G21" s="112"/>
      <c r="H21" s="112"/>
      <c r="I21" s="114"/>
      <c r="J21" s="114"/>
      <c r="K21" s="114"/>
      <c r="L21" s="115"/>
      <c r="M21" s="60" t="e">
        <f>CONCATENATE(#REF!,G21)</f>
        <v>#REF!</v>
      </c>
      <c r="N21" s="60" t="str">
        <f>CONCATENATE(C21,G21)</f>
        <v/>
      </c>
      <c r="O21" s="61" t="str">
        <f t="shared" si="1"/>
        <v>-</v>
      </c>
      <c r="P21" s="61" t="str">
        <f t="shared" si="2"/>
        <v>1</v>
      </c>
      <c r="Q21" s="61">
        <v>14600</v>
      </c>
      <c r="R21" s="61"/>
      <c r="S21" s="61"/>
      <c r="T21" s="61"/>
    </row>
    <row r="22" spans="1:76" s="62" customFormat="1" ht="30" customHeight="1">
      <c r="A22" s="111">
        <v>17</v>
      </c>
      <c r="B22" s="122"/>
      <c r="C22" s="112"/>
      <c r="D22" s="112"/>
      <c r="E22" s="112"/>
      <c r="F22" s="112"/>
      <c r="G22" s="112"/>
      <c r="H22" s="112"/>
      <c r="I22" s="114"/>
      <c r="J22" s="114"/>
      <c r="K22" s="114"/>
      <c r="L22" s="115"/>
      <c r="M22" s="60" t="e">
        <f>CONCATENATE(#REF!,G22)</f>
        <v>#REF!</v>
      </c>
      <c r="N22" s="60" t="str">
        <f t="shared" si="0"/>
        <v/>
      </c>
      <c r="O22" s="61" t="str">
        <f t="shared" si="1"/>
        <v>-</v>
      </c>
      <c r="P22" s="61" t="str">
        <f t="shared" si="2"/>
        <v>1</v>
      </c>
      <c r="Q22" s="61">
        <v>38900</v>
      </c>
      <c r="R22" s="61"/>
      <c r="S22" s="61"/>
      <c r="T22" s="61"/>
    </row>
    <row r="23" spans="1:76" s="133" customFormat="1" ht="30" customHeight="1">
      <c r="A23" s="111">
        <v>18</v>
      </c>
      <c r="B23" s="130"/>
      <c r="C23" s="112"/>
      <c r="D23" s="112"/>
      <c r="E23" s="112"/>
      <c r="F23" s="112"/>
      <c r="G23" s="112"/>
      <c r="H23" s="112"/>
      <c r="I23" s="114"/>
      <c r="J23" s="114"/>
      <c r="K23" s="114"/>
      <c r="L23" s="115"/>
      <c r="M23" s="131" t="e">
        <f>CONCATENATE(#REF!,G23)</f>
        <v>#REF!</v>
      </c>
      <c r="N23" s="131" t="str">
        <f t="shared" si="0"/>
        <v/>
      </c>
      <c r="O23" s="132" t="str">
        <f t="shared" si="1"/>
        <v>-</v>
      </c>
      <c r="P23" s="61" t="str">
        <f t="shared" si="2"/>
        <v>1</v>
      </c>
      <c r="Q23" s="132">
        <v>38900</v>
      </c>
      <c r="R23" s="61"/>
      <c r="S23" s="132"/>
      <c r="T23" s="132"/>
    </row>
    <row r="24" spans="1:76" s="62" customFormat="1" ht="30" customHeight="1">
      <c r="A24" s="111">
        <v>19</v>
      </c>
      <c r="B24" s="130"/>
      <c r="C24" s="112"/>
      <c r="D24" s="112"/>
      <c r="E24" s="112"/>
      <c r="F24" s="112"/>
      <c r="G24" s="112"/>
      <c r="H24" s="112"/>
      <c r="I24" s="114"/>
      <c r="J24" s="114"/>
      <c r="K24" s="114"/>
      <c r="L24" s="115"/>
      <c r="M24" s="60" t="e">
        <f>CONCATENATE(#REF!,G24)</f>
        <v>#REF!</v>
      </c>
      <c r="N24" s="60" t="str">
        <f t="shared" si="0"/>
        <v/>
      </c>
      <c r="O24" s="61" t="str">
        <f t="shared" si="1"/>
        <v>-</v>
      </c>
      <c r="P24" s="61" t="str">
        <f t="shared" si="2"/>
        <v>1</v>
      </c>
      <c r="Q24" s="61">
        <v>72200</v>
      </c>
      <c r="R24" s="61"/>
      <c r="S24" s="61"/>
      <c r="T24" s="61"/>
    </row>
    <row r="25" spans="1:76" s="62" customFormat="1" ht="30" customHeight="1">
      <c r="A25" s="111">
        <v>20</v>
      </c>
      <c r="B25" s="122"/>
      <c r="C25" s="112"/>
      <c r="D25" s="112"/>
      <c r="E25" s="112"/>
      <c r="F25" s="112"/>
      <c r="G25" s="112"/>
      <c r="H25" s="112"/>
      <c r="I25" s="114"/>
      <c r="J25" s="114"/>
      <c r="K25" s="114"/>
      <c r="L25" s="115"/>
      <c r="M25" s="60" t="e">
        <f>CONCATENATE(#REF!,G25)</f>
        <v>#REF!</v>
      </c>
      <c r="N25" s="60" t="str">
        <f>CONCATENATE(C25,G25)</f>
        <v/>
      </c>
      <c r="O25" s="61" t="str">
        <f t="shared" si="1"/>
        <v>-</v>
      </c>
      <c r="P25" s="61" t="str">
        <f t="shared" si="2"/>
        <v>1</v>
      </c>
      <c r="Q25" s="61">
        <v>38900</v>
      </c>
      <c r="R25" s="61"/>
      <c r="S25" s="61"/>
      <c r="T25" s="61"/>
    </row>
    <row r="26" spans="1:76" s="62" customFormat="1" ht="30" customHeight="1">
      <c r="A26" s="111"/>
      <c r="B26" s="130"/>
      <c r="C26" s="112"/>
      <c r="D26" s="112"/>
      <c r="E26" s="112"/>
      <c r="F26" s="112"/>
      <c r="G26" s="112"/>
      <c r="H26" s="112"/>
      <c r="I26" s="114"/>
      <c r="J26" s="114"/>
      <c r="K26" s="114"/>
      <c r="L26" s="115"/>
      <c r="M26" s="60" t="e">
        <f>CONCATENATE(#REF!,G26)</f>
        <v>#REF!</v>
      </c>
      <c r="N26" s="60" t="str">
        <f>CONCATENATE(C26,G26)</f>
        <v/>
      </c>
      <c r="O26" s="61" t="str">
        <f t="shared" si="1"/>
        <v>-</v>
      </c>
      <c r="P26" s="61" t="str">
        <f t="shared" si="2"/>
        <v>1</v>
      </c>
      <c r="Q26" s="61"/>
      <c r="R26" s="61">
        <f>Q26*F26*3</f>
        <v>0</v>
      </c>
      <c r="S26" s="61"/>
      <c r="T26" s="61"/>
    </row>
    <row r="27" spans="1:76" s="62" customFormat="1" ht="30" customHeight="1">
      <c r="A27" s="111"/>
      <c r="B27" s="130"/>
      <c r="C27" s="112"/>
      <c r="D27" s="112"/>
      <c r="E27" s="112"/>
      <c r="F27" s="112"/>
      <c r="G27" s="112"/>
      <c r="H27" s="112"/>
      <c r="I27" s="114"/>
      <c r="J27" s="114"/>
      <c r="K27" s="114"/>
      <c r="L27" s="115"/>
      <c r="M27" s="60" t="e">
        <f>CONCATENATE(#REF!,G27)</f>
        <v>#REF!</v>
      </c>
      <c r="N27" s="60" t="str">
        <f>CONCATENATE(C27,G27)</f>
        <v/>
      </c>
      <c r="O27" s="61" t="str">
        <f t="shared" si="1"/>
        <v>-</v>
      </c>
      <c r="P27" s="61" t="str">
        <f t="shared" si="2"/>
        <v>1</v>
      </c>
      <c r="Q27" s="61"/>
      <c r="R27" s="61">
        <f>Q27*F27*3</f>
        <v>0</v>
      </c>
      <c r="S27" s="61"/>
      <c r="T27" s="61"/>
    </row>
    <row r="28" spans="1:76" s="62" customFormat="1" ht="30" customHeight="1">
      <c r="A28" s="111"/>
      <c r="B28" s="130"/>
      <c r="C28" s="112"/>
      <c r="D28" s="112"/>
      <c r="E28" s="112"/>
      <c r="F28" s="112"/>
      <c r="G28" s="112"/>
      <c r="H28" s="112"/>
      <c r="I28" s="123"/>
      <c r="J28" s="114"/>
      <c r="K28" s="114"/>
      <c r="L28" s="115"/>
      <c r="M28" s="60" t="e">
        <f>CONCATENATE(#REF!,G28)</f>
        <v>#REF!</v>
      </c>
      <c r="N28" s="60" t="str">
        <f t="shared" si="0"/>
        <v/>
      </c>
      <c r="O28" s="61" t="str">
        <f t="shared" si="1"/>
        <v>-</v>
      </c>
      <c r="P28" s="61" t="str">
        <f t="shared" si="2"/>
        <v>1</v>
      </c>
      <c r="Q28" s="61"/>
      <c r="R28" s="61">
        <f>Q28*F28*3</f>
        <v>0</v>
      </c>
      <c r="S28" s="61"/>
      <c r="T28" s="61"/>
    </row>
    <row r="29" spans="1:76" s="62" customFormat="1" ht="30" customHeight="1">
      <c r="A29" s="111"/>
      <c r="B29" s="130"/>
      <c r="C29" s="112"/>
      <c r="D29" s="112"/>
      <c r="E29" s="112"/>
      <c r="F29" s="112"/>
      <c r="G29" s="112"/>
      <c r="H29" s="112"/>
      <c r="I29" s="114"/>
      <c r="J29" s="114"/>
      <c r="K29" s="114"/>
      <c r="L29" s="115"/>
      <c r="M29" s="60" t="e">
        <f>CONCATENATE(#REF!,G29)</f>
        <v>#REF!</v>
      </c>
      <c r="N29" s="60" t="str">
        <f t="shared" si="0"/>
        <v/>
      </c>
      <c r="O29" s="61" t="str">
        <f t="shared" si="1"/>
        <v>-</v>
      </c>
      <c r="P29" s="61" t="str">
        <f t="shared" si="2"/>
        <v>1</v>
      </c>
      <c r="Q29" s="61"/>
      <c r="R29" s="61">
        <f>Q29*F29*3</f>
        <v>0</v>
      </c>
      <c r="S29" s="61"/>
      <c r="T29" s="61"/>
    </row>
    <row r="30" spans="1:76" s="62" customFormat="1" ht="30" customHeight="1">
      <c r="A30" s="111"/>
      <c r="B30" s="130"/>
      <c r="C30" s="112"/>
      <c r="D30" s="112"/>
      <c r="E30" s="112"/>
      <c r="F30" s="112"/>
      <c r="G30" s="112"/>
      <c r="H30" s="112"/>
      <c r="I30" s="114"/>
      <c r="J30" s="114"/>
      <c r="K30" s="114"/>
      <c r="L30" s="115"/>
      <c r="M30" s="60" t="e">
        <f>CONCATENATE(#REF!,G30)</f>
        <v>#REF!</v>
      </c>
      <c r="N30" s="60" t="str">
        <f t="shared" si="0"/>
        <v/>
      </c>
      <c r="O30" s="61" t="str">
        <f t="shared" si="1"/>
        <v>-</v>
      </c>
      <c r="P30" s="61"/>
      <c r="Q30" s="61"/>
      <c r="R30" s="61">
        <f>Q30*F30*3</f>
        <v>0</v>
      </c>
      <c r="S30" s="61"/>
      <c r="T30" s="61"/>
    </row>
    <row r="31" spans="1:76" s="73" customFormat="1" ht="30" customHeight="1">
      <c r="A31" s="117" t="s">
        <v>41</v>
      </c>
      <c r="B31" s="117"/>
      <c r="C31" s="118"/>
      <c r="D31" s="119"/>
      <c r="E31" s="119">
        <f>SUM(E6:E30)</f>
        <v>0</v>
      </c>
      <c r="F31" s="119">
        <f>SUM(F6:F30)</f>
        <v>0</v>
      </c>
      <c r="G31" s="120"/>
      <c r="H31" s="120"/>
      <c r="I31" s="120"/>
      <c r="J31" s="120"/>
      <c r="K31" s="120"/>
      <c r="L31" s="121"/>
      <c r="M31" s="60" t="e">
        <f>CONCATENATE(#REF!,G31)</f>
        <v>#REF!</v>
      </c>
      <c r="N31" s="60" t="str">
        <f t="shared" si="0"/>
        <v/>
      </c>
      <c r="O31" s="61"/>
      <c r="P31" s="61"/>
      <c r="Q31" s="61"/>
      <c r="R31" s="61">
        <f>SUM(R6:R30)</f>
        <v>0</v>
      </c>
      <c r="S31" s="61"/>
      <c r="T31" s="61"/>
      <c r="U31" s="137" t="e">
        <f>R31+#REF!+#REF!</f>
        <v>#REF!</v>
      </c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</row>
    <row r="32" spans="1:76" s="62" customFormat="1" ht="30" customHeight="1">
      <c r="A32" s="111">
        <v>26</v>
      </c>
      <c r="B32" s="130"/>
      <c r="C32" s="112"/>
      <c r="D32" s="112"/>
      <c r="E32" s="112"/>
      <c r="F32" s="112"/>
      <c r="G32" s="112"/>
      <c r="H32" s="112"/>
      <c r="I32" s="114"/>
      <c r="J32" s="114"/>
      <c r="K32" s="114"/>
      <c r="L32" s="115"/>
      <c r="M32" s="60" t="e">
        <f>CONCATENATE(#REF!,G32)</f>
        <v>#REF!</v>
      </c>
      <c r="N32" s="60" t="str">
        <f t="shared" si="0"/>
        <v/>
      </c>
      <c r="O32" s="61" t="str">
        <f t="shared" ref="O32:O48" si="3">IF(D32&gt;=F32,"-","err")</f>
        <v>-</v>
      </c>
      <c r="P32" s="61"/>
      <c r="Q32" s="61"/>
      <c r="R32" s="61"/>
      <c r="S32" s="61"/>
      <c r="T32" s="61"/>
    </row>
    <row r="33" spans="1:20" s="62" customFormat="1" ht="30" customHeight="1">
      <c r="A33" s="111">
        <v>27</v>
      </c>
      <c r="B33" s="130"/>
      <c r="C33" s="112"/>
      <c r="D33" s="112"/>
      <c r="E33" s="112"/>
      <c r="F33" s="112"/>
      <c r="G33" s="112"/>
      <c r="H33" s="112"/>
      <c r="I33" s="114"/>
      <c r="J33" s="114"/>
      <c r="K33" s="114"/>
      <c r="L33" s="115"/>
      <c r="M33" s="60" t="e">
        <f>CONCATENATE(#REF!,G33)</f>
        <v>#REF!</v>
      </c>
      <c r="N33" s="60" t="str">
        <f t="shared" si="0"/>
        <v/>
      </c>
      <c r="O33" s="61" t="str">
        <f t="shared" si="3"/>
        <v>-</v>
      </c>
      <c r="P33" s="61"/>
      <c r="Q33" s="61"/>
      <c r="R33" s="61"/>
      <c r="S33" s="61"/>
      <c r="T33" s="61"/>
    </row>
    <row r="34" spans="1:20" s="62" customFormat="1" ht="30" customHeight="1">
      <c r="A34" s="111">
        <v>28</v>
      </c>
      <c r="B34" s="130"/>
      <c r="C34" s="112"/>
      <c r="D34" s="112"/>
      <c r="E34" s="112"/>
      <c r="F34" s="113"/>
      <c r="G34" s="112"/>
      <c r="H34" s="112"/>
      <c r="I34" s="114"/>
      <c r="J34" s="114"/>
      <c r="K34" s="114"/>
      <c r="L34" s="115"/>
      <c r="M34" s="60" t="e">
        <f>CONCATENATE(#REF!,G34)</f>
        <v>#REF!</v>
      </c>
      <c r="N34" s="60" t="str">
        <f t="shared" si="0"/>
        <v/>
      </c>
      <c r="O34" s="61" t="str">
        <f t="shared" si="3"/>
        <v>-</v>
      </c>
      <c r="P34" s="61"/>
      <c r="Q34" s="61"/>
      <c r="R34" s="61"/>
      <c r="S34" s="61"/>
      <c r="T34" s="61"/>
    </row>
    <row r="35" spans="1:20" s="62" customFormat="1" ht="30" customHeight="1">
      <c r="A35" s="111">
        <v>29</v>
      </c>
      <c r="B35" s="122"/>
      <c r="C35" s="112"/>
      <c r="D35" s="112"/>
      <c r="E35" s="112"/>
      <c r="F35" s="113"/>
      <c r="G35" s="112"/>
      <c r="H35" s="112"/>
      <c r="I35" s="114"/>
      <c r="J35" s="114"/>
      <c r="K35" s="114"/>
      <c r="L35" s="115"/>
      <c r="M35" s="60" t="e">
        <f>CONCATENATE(#REF!,G35)</f>
        <v>#REF!</v>
      </c>
      <c r="N35" s="60" t="str">
        <f t="shared" si="0"/>
        <v/>
      </c>
      <c r="O35" s="61" t="str">
        <f t="shared" si="3"/>
        <v>-</v>
      </c>
      <c r="P35" s="61"/>
      <c r="Q35" s="61"/>
      <c r="R35" s="61"/>
      <c r="S35" s="61"/>
      <c r="T35" s="61"/>
    </row>
    <row r="36" spans="1:20" s="62" customFormat="1" ht="30" customHeight="1">
      <c r="A36" s="111">
        <v>30</v>
      </c>
      <c r="B36" s="122"/>
      <c r="C36" s="112"/>
      <c r="D36" s="112"/>
      <c r="E36" s="112"/>
      <c r="F36" s="113"/>
      <c r="G36" s="112"/>
      <c r="H36" s="112"/>
      <c r="I36" s="114"/>
      <c r="J36" s="114"/>
      <c r="K36" s="114"/>
      <c r="L36" s="115"/>
      <c r="M36" s="60" t="e">
        <f>CONCATENATE(#REF!,G36)</f>
        <v>#REF!</v>
      </c>
      <c r="N36" s="60" t="str">
        <f t="shared" si="0"/>
        <v/>
      </c>
      <c r="O36" s="61" t="str">
        <f t="shared" si="3"/>
        <v>-</v>
      </c>
      <c r="P36" s="61"/>
      <c r="Q36" s="61"/>
      <c r="R36" s="61"/>
      <c r="S36" s="61"/>
      <c r="T36" s="61"/>
    </row>
    <row r="37" spans="1:20" s="62" customFormat="1" ht="30" customHeight="1">
      <c r="A37" s="111">
        <v>31</v>
      </c>
      <c r="B37" s="122"/>
      <c r="C37" s="112"/>
      <c r="D37" s="112"/>
      <c r="E37" s="112"/>
      <c r="F37" s="113"/>
      <c r="G37" s="112"/>
      <c r="H37" s="112"/>
      <c r="I37" s="114"/>
      <c r="J37" s="114"/>
      <c r="K37" s="114"/>
      <c r="L37" s="115"/>
      <c r="M37" s="60" t="e">
        <f>CONCATENATE(#REF!,G37)</f>
        <v>#REF!</v>
      </c>
      <c r="N37" s="60" t="str">
        <f t="shared" si="0"/>
        <v/>
      </c>
      <c r="O37" s="61" t="str">
        <f t="shared" si="3"/>
        <v>-</v>
      </c>
      <c r="P37" s="61"/>
      <c r="Q37" s="61"/>
      <c r="R37" s="61"/>
      <c r="S37" s="61"/>
      <c r="T37" s="61"/>
    </row>
    <row r="38" spans="1:20" s="62" customFormat="1" ht="30" customHeight="1">
      <c r="A38" s="111">
        <v>32</v>
      </c>
      <c r="B38" s="122"/>
      <c r="C38" s="112"/>
      <c r="D38" s="112"/>
      <c r="E38" s="112"/>
      <c r="F38" s="113"/>
      <c r="G38" s="112"/>
      <c r="H38" s="112"/>
      <c r="I38" s="114"/>
      <c r="J38" s="114"/>
      <c r="K38" s="114"/>
      <c r="L38" s="115"/>
      <c r="M38" s="60" t="e">
        <f>CONCATENATE(#REF!,G38)</f>
        <v>#REF!</v>
      </c>
      <c r="N38" s="60" t="str">
        <f t="shared" si="0"/>
        <v/>
      </c>
      <c r="O38" s="61" t="str">
        <f t="shared" si="3"/>
        <v>-</v>
      </c>
      <c r="P38" s="61"/>
      <c r="Q38" s="61"/>
      <c r="R38" s="61"/>
      <c r="S38" s="61"/>
      <c r="T38" s="61"/>
    </row>
    <row r="39" spans="1:20" s="62" customFormat="1" ht="30" customHeight="1">
      <c r="A39" s="111">
        <v>33</v>
      </c>
      <c r="B39" s="122"/>
      <c r="C39" s="112"/>
      <c r="D39" s="112"/>
      <c r="E39" s="112"/>
      <c r="F39" s="116"/>
      <c r="G39" s="112"/>
      <c r="H39" s="112"/>
      <c r="I39" s="114"/>
      <c r="J39" s="114"/>
      <c r="K39" s="114"/>
      <c r="L39" s="115"/>
      <c r="M39" s="60" t="e">
        <f>CONCATENATE(#REF!,G39)</f>
        <v>#REF!</v>
      </c>
      <c r="N39" s="60" t="str">
        <f t="shared" si="0"/>
        <v/>
      </c>
      <c r="O39" s="61" t="str">
        <f t="shared" si="3"/>
        <v>-</v>
      </c>
      <c r="P39" s="61"/>
      <c r="Q39" s="61"/>
      <c r="R39" s="61"/>
      <c r="S39" s="61"/>
      <c r="T39" s="61"/>
    </row>
    <row r="40" spans="1:20" s="62" customFormat="1" ht="30" customHeight="1">
      <c r="A40" s="111"/>
      <c r="B40" s="130"/>
      <c r="C40" s="112"/>
      <c r="D40" s="112"/>
      <c r="E40" s="112"/>
      <c r="F40" s="112"/>
      <c r="G40" s="112"/>
      <c r="H40" s="112"/>
      <c r="I40" s="114"/>
      <c r="J40" s="114"/>
      <c r="K40" s="114"/>
      <c r="L40" s="115"/>
      <c r="M40" s="60" t="e">
        <f>CONCATENATE(#REF!,G40)</f>
        <v>#REF!</v>
      </c>
      <c r="N40" s="60" t="str">
        <f t="shared" si="0"/>
        <v/>
      </c>
      <c r="O40" s="61" t="str">
        <f t="shared" si="3"/>
        <v>-</v>
      </c>
      <c r="P40" s="61"/>
      <c r="Q40" s="61"/>
      <c r="R40" s="61"/>
      <c r="S40" s="61"/>
      <c r="T40" s="61"/>
    </row>
    <row r="41" spans="1:20" s="62" customFormat="1" ht="30" customHeight="1">
      <c r="A41" s="111"/>
      <c r="B41" s="130"/>
      <c r="C41" s="112"/>
      <c r="D41" s="112"/>
      <c r="E41" s="112"/>
      <c r="F41" s="112"/>
      <c r="G41" s="112"/>
      <c r="H41" s="112"/>
      <c r="I41" s="114"/>
      <c r="J41" s="114"/>
      <c r="K41" s="114"/>
      <c r="L41" s="115"/>
      <c r="M41" s="60" t="e">
        <f>CONCATENATE(#REF!,G41)</f>
        <v>#REF!</v>
      </c>
      <c r="N41" s="60" t="str">
        <f t="shared" si="0"/>
        <v/>
      </c>
      <c r="O41" s="61" t="str">
        <f t="shared" si="3"/>
        <v>-</v>
      </c>
      <c r="P41" s="61"/>
      <c r="Q41" s="61"/>
      <c r="R41" s="61"/>
      <c r="S41" s="61"/>
      <c r="T41" s="61"/>
    </row>
    <row r="42" spans="1:20" s="62" customFormat="1" ht="30" customHeight="1">
      <c r="A42" s="111"/>
      <c r="B42" s="130"/>
      <c r="C42" s="112"/>
      <c r="D42" s="112"/>
      <c r="E42" s="112"/>
      <c r="F42" s="112"/>
      <c r="G42" s="112"/>
      <c r="H42" s="112"/>
      <c r="I42" s="114"/>
      <c r="J42" s="114"/>
      <c r="K42" s="114"/>
      <c r="L42" s="115"/>
      <c r="M42" s="60" t="e">
        <f>CONCATENATE(#REF!,G42)</f>
        <v>#REF!</v>
      </c>
      <c r="N42" s="60" t="str">
        <f t="shared" si="0"/>
        <v/>
      </c>
      <c r="O42" s="61" t="str">
        <f t="shared" si="3"/>
        <v>-</v>
      </c>
      <c r="P42" s="61"/>
      <c r="Q42" s="61"/>
      <c r="R42" s="61"/>
      <c r="S42" s="61"/>
      <c r="T42" s="61"/>
    </row>
    <row r="43" spans="1:20" s="62" customFormat="1" ht="30" customHeight="1">
      <c r="A43" s="111"/>
      <c r="B43" s="130"/>
      <c r="C43" s="112"/>
      <c r="D43" s="112"/>
      <c r="E43" s="112"/>
      <c r="F43" s="112"/>
      <c r="G43" s="112"/>
      <c r="H43" s="112"/>
      <c r="I43" s="114"/>
      <c r="J43" s="114"/>
      <c r="K43" s="114"/>
      <c r="L43" s="115"/>
      <c r="M43" s="60" t="e">
        <f>CONCATENATE(#REF!,G43)</f>
        <v>#REF!</v>
      </c>
      <c r="N43" s="60" t="str">
        <f t="shared" si="0"/>
        <v/>
      </c>
      <c r="O43" s="61" t="str">
        <f t="shared" si="3"/>
        <v>-</v>
      </c>
      <c r="P43" s="61"/>
      <c r="Q43" s="61"/>
      <c r="R43" s="61"/>
      <c r="S43" s="61"/>
      <c r="T43" s="61"/>
    </row>
    <row r="44" spans="1:20" s="62" customFormat="1" ht="30" customHeight="1">
      <c r="A44" s="111"/>
      <c r="B44" s="130"/>
      <c r="C44" s="112"/>
      <c r="D44" s="112"/>
      <c r="E44" s="112"/>
      <c r="F44" s="112"/>
      <c r="G44" s="112"/>
      <c r="H44" s="112"/>
      <c r="I44" s="114"/>
      <c r="J44" s="114"/>
      <c r="K44" s="114"/>
      <c r="L44" s="115"/>
      <c r="M44" s="60" t="e">
        <f>CONCATENATE(#REF!,G44)</f>
        <v>#REF!</v>
      </c>
      <c r="N44" s="60" t="str">
        <f t="shared" si="0"/>
        <v/>
      </c>
      <c r="O44" s="61" t="str">
        <f t="shared" si="3"/>
        <v>-</v>
      </c>
      <c r="P44" s="61"/>
      <c r="Q44" s="61"/>
      <c r="R44" s="61"/>
      <c r="S44" s="61"/>
      <c r="T44" s="61"/>
    </row>
    <row r="45" spans="1:20" s="62" customFormat="1" ht="30" customHeight="1">
      <c r="A45" s="111"/>
      <c r="B45" s="130"/>
      <c r="C45" s="112"/>
      <c r="D45" s="112"/>
      <c r="E45" s="112"/>
      <c r="F45" s="112"/>
      <c r="G45" s="112"/>
      <c r="H45" s="112"/>
      <c r="I45" s="114"/>
      <c r="J45" s="114"/>
      <c r="K45" s="114"/>
      <c r="L45" s="115"/>
      <c r="M45" s="60" t="e">
        <f>CONCATENATE(#REF!,G45)</f>
        <v>#REF!</v>
      </c>
      <c r="N45" s="60" t="str">
        <f t="shared" si="0"/>
        <v/>
      </c>
      <c r="O45" s="61" t="str">
        <f t="shared" si="3"/>
        <v>-</v>
      </c>
      <c r="P45" s="61"/>
      <c r="Q45" s="61"/>
      <c r="R45" s="61"/>
      <c r="S45" s="61"/>
      <c r="T45" s="61"/>
    </row>
    <row r="46" spans="1:20" s="62" customFormat="1" ht="30" customHeight="1">
      <c r="A46" s="111"/>
      <c r="B46" s="130"/>
      <c r="C46" s="112"/>
      <c r="D46" s="112"/>
      <c r="E46" s="112"/>
      <c r="F46" s="112"/>
      <c r="G46" s="112"/>
      <c r="H46" s="112"/>
      <c r="I46" s="114"/>
      <c r="J46" s="114"/>
      <c r="K46" s="114"/>
      <c r="L46" s="115"/>
      <c r="M46" s="60" t="e">
        <f>CONCATENATE(#REF!,G46)</f>
        <v>#REF!</v>
      </c>
      <c r="N46" s="60" t="str">
        <f t="shared" si="0"/>
        <v/>
      </c>
      <c r="O46" s="61" t="str">
        <f t="shared" si="3"/>
        <v>-</v>
      </c>
      <c r="P46" s="61"/>
      <c r="Q46" s="61"/>
      <c r="R46" s="61"/>
      <c r="S46" s="61"/>
      <c r="T46" s="61"/>
    </row>
    <row r="47" spans="1:20" s="62" customFormat="1" ht="30" customHeight="1">
      <c r="A47" s="111"/>
      <c r="B47" s="130"/>
      <c r="C47" s="112"/>
      <c r="D47" s="112"/>
      <c r="E47" s="112"/>
      <c r="F47" s="112"/>
      <c r="G47" s="112"/>
      <c r="H47" s="112"/>
      <c r="I47" s="114"/>
      <c r="J47" s="114"/>
      <c r="K47" s="114"/>
      <c r="L47" s="115"/>
      <c r="M47" s="60" t="e">
        <f>CONCATENATE(#REF!,G47)</f>
        <v>#REF!</v>
      </c>
      <c r="N47" s="60" t="str">
        <f t="shared" si="0"/>
        <v/>
      </c>
      <c r="O47" s="61" t="str">
        <f t="shared" si="3"/>
        <v>-</v>
      </c>
      <c r="P47" s="61"/>
      <c r="Q47" s="61"/>
      <c r="R47" s="61"/>
      <c r="S47" s="61"/>
      <c r="T47" s="61"/>
    </row>
    <row r="48" spans="1:20" s="62" customFormat="1" ht="30" customHeight="1">
      <c r="A48" s="111"/>
      <c r="B48" s="111"/>
      <c r="C48" s="112"/>
      <c r="D48" s="112"/>
      <c r="E48" s="112"/>
      <c r="F48" s="112"/>
      <c r="G48" s="112"/>
      <c r="H48" s="112"/>
      <c r="I48" s="114"/>
      <c r="J48" s="114"/>
      <c r="K48" s="114"/>
      <c r="L48" s="115"/>
      <c r="M48" s="60" t="e">
        <f>CONCATENATE(#REF!,G48)</f>
        <v>#REF!</v>
      </c>
      <c r="N48" s="60" t="str">
        <f t="shared" si="0"/>
        <v/>
      </c>
      <c r="O48" s="61" t="str">
        <f t="shared" si="3"/>
        <v>-</v>
      </c>
      <c r="P48" s="61"/>
      <c r="Q48" s="61"/>
      <c r="R48" s="61"/>
      <c r="S48" s="61"/>
      <c r="T48" s="61"/>
    </row>
    <row r="49" spans="1:76" s="73" customFormat="1" ht="30" customHeight="1">
      <c r="A49" s="117" t="s">
        <v>41</v>
      </c>
      <c r="B49" s="117"/>
      <c r="C49" s="118"/>
      <c r="D49" s="119"/>
      <c r="E49" s="119"/>
      <c r="F49" s="119">
        <f>SUM(F32:F48)</f>
        <v>0</v>
      </c>
      <c r="G49" s="120"/>
      <c r="H49" s="120"/>
      <c r="I49" s="120"/>
      <c r="J49" s="120"/>
      <c r="K49" s="120"/>
      <c r="L49" s="121"/>
      <c r="M49" s="60" t="e">
        <f>CONCATENATE(#REF!,G49)</f>
        <v>#REF!</v>
      </c>
      <c r="N49" s="60" t="str">
        <f t="shared" si="0"/>
        <v/>
      </c>
      <c r="O49" s="61"/>
      <c r="P49" s="61"/>
      <c r="Q49" s="61"/>
      <c r="R49" s="61"/>
      <c r="S49" s="61"/>
      <c r="T49" s="61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</row>
    <row r="50" spans="1:76" s="62" customFormat="1" ht="35.1" customHeight="1">
      <c r="A50" s="58"/>
      <c r="B50" s="82"/>
      <c r="C50" s="59"/>
      <c r="D50" s="59"/>
      <c r="E50" s="59"/>
      <c r="F50" s="59"/>
      <c r="G50" s="59"/>
      <c r="H50" s="59"/>
      <c r="I50" s="43"/>
      <c r="J50" s="43"/>
      <c r="K50" s="43"/>
      <c r="L50" s="16"/>
      <c r="M50" s="60" t="e">
        <f>CONCATENATE(#REF!,G50)</f>
        <v>#REF!</v>
      </c>
      <c r="N50" s="60" t="str">
        <f t="shared" si="0"/>
        <v/>
      </c>
      <c r="O50" s="61" t="str">
        <f t="shared" ref="O50:O69" si="4">IF(D50&gt;=F50,"-","err")</f>
        <v>-</v>
      </c>
      <c r="P50" s="61"/>
      <c r="Q50" s="61"/>
      <c r="R50" s="61"/>
      <c r="S50" s="61"/>
      <c r="T50" s="61"/>
    </row>
    <row r="51" spans="1:76" s="62" customFormat="1" ht="35.1" customHeight="1">
      <c r="A51" s="92"/>
      <c r="B51" s="96"/>
      <c r="C51" s="93"/>
      <c r="D51" s="93"/>
      <c r="E51" s="93"/>
      <c r="F51" s="93"/>
      <c r="G51" s="93"/>
      <c r="H51" s="93"/>
      <c r="I51" s="94"/>
      <c r="J51" s="94"/>
      <c r="K51" s="94"/>
      <c r="L51" s="95"/>
      <c r="M51" s="60" t="e">
        <f>CONCATENATE(#REF!,G51)</f>
        <v>#REF!</v>
      </c>
      <c r="N51" s="60" t="str">
        <f t="shared" si="0"/>
        <v/>
      </c>
      <c r="O51" s="61" t="str">
        <f t="shared" si="4"/>
        <v>-</v>
      </c>
      <c r="P51" s="61"/>
      <c r="Q51" s="61"/>
      <c r="R51" s="61"/>
      <c r="S51" s="61"/>
      <c r="T51" s="61"/>
    </row>
    <row r="52" spans="1:76" s="62" customFormat="1" ht="35.1" customHeight="1">
      <c r="A52" s="63"/>
      <c r="B52" s="83"/>
      <c r="C52" s="65"/>
      <c r="D52" s="65"/>
      <c r="E52" s="65"/>
      <c r="F52" s="65"/>
      <c r="G52" s="65"/>
      <c r="H52" s="65"/>
      <c r="I52" s="44">
        <v>0</v>
      </c>
      <c r="J52" s="44">
        <v>0</v>
      </c>
      <c r="K52" s="44">
        <v>0</v>
      </c>
      <c r="L52" s="17"/>
      <c r="M52" s="60" t="e">
        <f>CONCATENATE(#REF!,G52)</f>
        <v>#REF!</v>
      </c>
      <c r="N52" s="60" t="str">
        <f t="shared" si="0"/>
        <v/>
      </c>
      <c r="O52" s="61" t="str">
        <f t="shared" si="4"/>
        <v>-</v>
      </c>
      <c r="P52" s="61"/>
      <c r="Q52" s="61"/>
      <c r="R52" s="61"/>
      <c r="S52" s="61"/>
      <c r="T52" s="61"/>
    </row>
    <row r="53" spans="1:76" s="62" customFormat="1" ht="35.1" customHeight="1">
      <c r="A53" s="63"/>
      <c r="B53" s="84"/>
      <c r="C53" s="65"/>
      <c r="D53" s="65"/>
      <c r="E53" s="65"/>
      <c r="F53" s="65"/>
      <c r="G53" s="65"/>
      <c r="H53" s="65"/>
      <c r="I53" s="44">
        <v>0</v>
      </c>
      <c r="J53" s="44">
        <v>0</v>
      </c>
      <c r="K53" s="44">
        <v>0</v>
      </c>
      <c r="L53" s="17"/>
      <c r="M53" s="60" t="e">
        <f>CONCATENATE(#REF!,G53)</f>
        <v>#REF!</v>
      </c>
      <c r="N53" s="60" t="str">
        <f t="shared" si="0"/>
        <v/>
      </c>
      <c r="O53" s="61" t="str">
        <f t="shared" si="4"/>
        <v>-</v>
      </c>
      <c r="P53" s="61"/>
      <c r="Q53" s="61"/>
      <c r="R53" s="61"/>
      <c r="S53" s="61"/>
      <c r="T53" s="61"/>
    </row>
    <row r="54" spans="1:76" s="62" customFormat="1" ht="35.1" customHeight="1">
      <c r="A54" s="63"/>
      <c r="B54" s="89"/>
      <c r="C54" s="65"/>
      <c r="D54" s="65"/>
      <c r="E54" s="65"/>
      <c r="F54" s="65"/>
      <c r="G54" s="65"/>
      <c r="H54" s="65"/>
      <c r="I54" s="44">
        <v>0</v>
      </c>
      <c r="J54" s="44">
        <v>0</v>
      </c>
      <c r="K54" s="44">
        <v>0</v>
      </c>
      <c r="L54" s="17"/>
      <c r="M54" s="60" t="e">
        <f>CONCATENATE(#REF!,G54)</f>
        <v>#REF!</v>
      </c>
      <c r="N54" s="60" t="str">
        <f t="shared" si="0"/>
        <v/>
      </c>
      <c r="O54" s="61" t="str">
        <f t="shared" si="4"/>
        <v>-</v>
      </c>
      <c r="P54" s="61"/>
      <c r="Q54" s="61"/>
      <c r="R54" s="61"/>
      <c r="S54" s="61"/>
      <c r="T54" s="61"/>
    </row>
    <row r="55" spans="1:76" s="62" customFormat="1" ht="35.1" customHeight="1">
      <c r="A55" s="63"/>
      <c r="B55" s="89"/>
      <c r="C55" s="65"/>
      <c r="D55" s="65"/>
      <c r="E55" s="65"/>
      <c r="F55" s="65"/>
      <c r="G55" s="65"/>
      <c r="H55" s="65"/>
      <c r="I55" s="44">
        <v>0</v>
      </c>
      <c r="J55" s="44">
        <v>0</v>
      </c>
      <c r="K55" s="44">
        <v>0</v>
      </c>
      <c r="L55" s="17"/>
      <c r="M55" s="60" t="e">
        <f>CONCATENATE(#REF!,G55)</f>
        <v>#REF!</v>
      </c>
      <c r="N55" s="60" t="str">
        <f t="shared" si="0"/>
        <v/>
      </c>
      <c r="O55" s="61" t="str">
        <f t="shared" si="4"/>
        <v>-</v>
      </c>
      <c r="P55" s="61"/>
      <c r="Q55" s="61"/>
      <c r="R55" s="61"/>
      <c r="S55" s="61"/>
      <c r="T55" s="61"/>
    </row>
    <row r="56" spans="1:76" s="62" customFormat="1" ht="35.1" customHeight="1">
      <c r="A56" s="63"/>
      <c r="B56" s="89"/>
      <c r="C56" s="65"/>
      <c r="D56" s="65"/>
      <c r="E56" s="65"/>
      <c r="F56" s="65"/>
      <c r="G56" s="65"/>
      <c r="H56" s="65"/>
      <c r="I56" s="44"/>
      <c r="J56" s="44"/>
      <c r="K56" s="44"/>
      <c r="L56" s="17"/>
      <c r="M56" s="60" t="e">
        <f>CONCATENATE(#REF!,G56)</f>
        <v>#REF!</v>
      </c>
      <c r="N56" s="60" t="str">
        <f t="shared" si="0"/>
        <v/>
      </c>
      <c r="O56" s="61" t="str">
        <f t="shared" si="4"/>
        <v>-</v>
      </c>
      <c r="P56" s="61"/>
      <c r="Q56" s="61"/>
      <c r="R56" s="61"/>
      <c r="S56" s="61"/>
      <c r="T56" s="61"/>
    </row>
    <row r="57" spans="1:76" s="62" customFormat="1" ht="35.1" customHeight="1">
      <c r="A57" s="63"/>
      <c r="B57" s="89"/>
      <c r="C57" s="65"/>
      <c r="D57" s="65"/>
      <c r="E57" s="65"/>
      <c r="F57" s="65"/>
      <c r="G57" s="65"/>
      <c r="H57" s="65"/>
      <c r="I57" s="44"/>
      <c r="J57" s="44"/>
      <c r="K57" s="44"/>
      <c r="L57" s="17"/>
      <c r="M57" s="60" t="e">
        <f>CONCATENATE(#REF!,G57)</f>
        <v>#REF!</v>
      </c>
      <c r="N57" s="60" t="str">
        <f t="shared" si="0"/>
        <v/>
      </c>
      <c r="O57" s="61" t="str">
        <f t="shared" si="4"/>
        <v>-</v>
      </c>
      <c r="P57" s="61"/>
      <c r="Q57" s="61"/>
      <c r="R57" s="61"/>
      <c r="S57" s="61"/>
      <c r="T57" s="61"/>
    </row>
    <row r="58" spans="1:76" s="62" customFormat="1" ht="35.1" customHeight="1">
      <c r="A58" s="63"/>
      <c r="B58" s="89"/>
      <c r="C58" s="65"/>
      <c r="D58" s="65"/>
      <c r="E58" s="65"/>
      <c r="F58" s="65"/>
      <c r="G58" s="65"/>
      <c r="H58" s="65"/>
      <c r="I58" s="44"/>
      <c r="J58" s="44"/>
      <c r="K58" s="44"/>
      <c r="L58" s="17"/>
      <c r="M58" s="60" t="e">
        <f>CONCATENATE(#REF!,G58)</f>
        <v>#REF!</v>
      </c>
      <c r="N58" s="60" t="str">
        <f t="shared" si="0"/>
        <v/>
      </c>
      <c r="O58" s="61" t="str">
        <f t="shared" si="4"/>
        <v>-</v>
      </c>
      <c r="P58" s="61"/>
      <c r="Q58" s="61"/>
      <c r="R58" s="61"/>
      <c r="S58" s="61"/>
      <c r="T58" s="61"/>
    </row>
    <row r="59" spans="1:76" s="62" customFormat="1" ht="35.1" customHeight="1">
      <c r="A59" s="63"/>
      <c r="B59" s="89"/>
      <c r="C59" s="65"/>
      <c r="D59" s="65"/>
      <c r="E59" s="65"/>
      <c r="F59" s="65"/>
      <c r="G59" s="65"/>
      <c r="H59" s="65"/>
      <c r="I59" s="44">
        <v>0</v>
      </c>
      <c r="J59" s="44">
        <v>0</v>
      </c>
      <c r="K59" s="44">
        <v>0</v>
      </c>
      <c r="L59" s="17"/>
      <c r="M59" s="60" t="e">
        <f>CONCATENATE(#REF!,G59)</f>
        <v>#REF!</v>
      </c>
      <c r="N59" s="60" t="str">
        <f t="shared" si="0"/>
        <v/>
      </c>
      <c r="O59" s="61" t="str">
        <f t="shared" si="4"/>
        <v>-</v>
      </c>
      <c r="P59" s="61"/>
      <c r="Q59" s="61"/>
      <c r="R59" s="61"/>
      <c r="S59" s="61"/>
      <c r="T59" s="61"/>
    </row>
    <row r="60" spans="1:76" s="62" customFormat="1" ht="35.1" customHeight="1">
      <c r="A60" s="63"/>
      <c r="B60" s="89"/>
      <c r="C60" s="65"/>
      <c r="D60" s="65"/>
      <c r="E60" s="65"/>
      <c r="F60" s="65"/>
      <c r="G60" s="65"/>
      <c r="H60" s="65"/>
      <c r="I60" s="44">
        <v>0</v>
      </c>
      <c r="J60" s="44">
        <v>0</v>
      </c>
      <c r="K60" s="44">
        <v>0</v>
      </c>
      <c r="L60" s="17"/>
      <c r="M60" s="60" t="e">
        <f>CONCATENATE(#REF!,G60)</f>
        <v>#REF!</v>
      </c>
      <c r="N60" s="60" t="str">
        <f t="shared" si="0"/>
        <v/>
      </c>
      <c r="O60" s="61" t="str">
        <f t="shared" si="4"/>
        <v>-</v>
      </c>
      <c r="P60" s="61"/>
      <c r="Q60" s="61"/>
      <c r="R60" s="61"/>
      <c r="S60" s="61"/>
      <c r="T60" s="61"/>
    </row>
    <row r="61" spans="1:76" s="62" customFormat="1" ht="35.1" customHeight="1">
      <c r="A61" s="63"/>
      <c r="B61" s="64"/>
      <c r="C61" s="65"/>
      <c r="D61" s="65"/>
      <c r="E61" s="65"/>
      <c r="F61" s="65"/>
      <c r="G61" s="65"/>
      <c r="H61" s="65"/>
      <c r="I61" s="44"/>
      <c r="J61" s="44"/>
      <c r="K61" s="44"/>
      <c r="L61" s="17"/>
      <c r="M61" s="60" t="e">
        <f>CONCATENATE(#REF!,G61)</f>
        <v>#REF!</v>
      </c>
      <c r="N61" s="60" t="str">
        <f t="shared" si="0"/>
        <v/>
      </c>
      <c r="O61" s="61" t="str">
        <f t="shared" si="4"/>
        <v>-</v>
      </c>
      <c r="P61" s="61"/>
      <c r="Q61" s="61"/>
      <c r="R61" s="61"/>
      <c r="S61" s="61"/>
      <c r="T61" s="61"/>
    </row>
    <row r="62" spans="1:76" s="62" customFormat="1" ht="35.1" customHeight="1">
      <c r="A62" s="63"/>
      <c r="B62" s="64"/>
      <c r="C62" s="65"/>
      <c r="D62" s="65"/>
      <c r="E62" s="65"/>
      <c r="F62" s="65"/>
      <c r="G62" s="65"/>
      <c r="H62" s="65"/>
      <c r="I62" s="44"/>
      <c r="J62" s="44"/>
      <c r="K62" s="44"/>
      <c r="L62" s="17"/>
      <c r="M62" s="60" t="e">
        <f>CONCATENATE(#REF!,G62)</f>
        <v>#REF!</v>
      </c>
      <c r="N62" s="60" t="str">
        <f t="shared" si="0"/>
        <v/>
      </c>
      <c r="O62" s="61" t="str">
        <f t="shared" si="4"/>
        <v>-</v>
      </c>
      <c r="P62" s="61"/>
      <c r="Q62" s="61"/>
      <c r="R62" s="61"/>
      <c r="S62" s="61"/>
      <c r="T62" s="61"/>
    </row>
    <row r="63" spans="1:76" s="62" customFormat="1" ht="35.1" customHeight="1">
      <c r="A63" s="63"/>
      <c r="B63" s="64"/>
      <c r="C63" s="65"/>
      <c r="D63" s="65"/>
      <c r="E63" s="65"/>
      <c r="F63" s="65"/>
      <c r="G63" s="65"/>
      <c r="H63" s="65"/>
      <c r="I63" s="44"/>
      <c r="J63" s="44"/>
      <c r="K63" s="44"/>
      <c r="L63" s="17"/>
      <c r="M63" s="60" t="e">
        <f>CONCATENATE(#REF!,G63)</f>
        <v>#REF!</v>
      </c>
      <c r="N63" s="60" t="str">
        <f t="shared" si="0"/>
        <v/>
      </c>
      <c r="O63" s="61" t="str">
        <f t="shared" si="4"/>
        <v>-</v>
      </c>
      <c r="P63" s="61"/>
      <c r="Q63" s="61"/>
      <c r="R63" s="61"/>
      <c r="S63" s="61"/>
      <c r="T63" s="61"/>
    </row>
    <row r="64" spans="1:76" s="62" customFormat="1" ht="35.1" customHeight="1">
      <c r="A64" s="63"/>
      <c r="B64" s="64"/>
      <c r="C64" s="65"/>
      <c r="D64" s="65"/>
      <c r="E64" s="65"/>
      <c r="F64" s="65"/>
      <c r="G64" s="65"/>
      <c r="H64" s="65"/>
      <c r="I64" s="44"/>
      <c r="J64" s="44"/>
      <c r="K64" s="44"/>
      <c r="L64" s="17"/>
      <c r="M64" s="60" t="e">
        <f>CONCATENATE(#REF!,G64)</f>
        <v>#REF!</v>
      </c>
      <c r="N64" s="60" t="str">
        <f t="shared" si="0"/>
        <v/>
      </c>
      <c r="O64" s="61" t="str">
        <f t="shared" si="4"/>
        <v>-</v>
      </c>
      <c r="P64" s="61"/>
      <c r="Q64" s="61"/>
      <c r="R64" s="61"/>
      <c r="S64" s="61"/>
      <c r="T64" s="61"/>
    </row>
    <row r="65" spans="1:76" s="62" customFormat="1" ht="35.1" customHeight="1">
      <c r="A65" s="63"/>
      <c r="B65" s="64"/>
      <c r="C65" s="65"/>
      <c r="D65" s="65"/>
      <c r="E65" s="65"/>
      <c r="F65" s="65"/>
      <c r="G65" s="65"/>
      <c r="H65" s="65"/>
      <c r="I65" s="44"/>
      <c r="J65" s="44"/>
      <c r="K65" s="44"/>
      <c r="L65" s="17"/>
      <c r="M65" s="60" t="e">
        <f>CONCATENATE(#REF!,G65)</f>
        <v>#REF!</v>
      </c>
      <c r="N65" s="60" t="str">
        <f t="shared" si="0"/>
        <v/>
      </c>
      <c r="O65" s="61" t="str">
        <f t="shared" si="4"/>
        <v>-</v>
      </c>
      <c r="P65" s="61"/>
      <c r="Q65" s="61"/>
      <c r="R65" s="61"/>
      <c r="S65" s="61"/>
      <c r="T65" s="61"/>
    </row>
    <row r="66" spans="1:76" s="62" customFormat="1" ht="35.1" customHeight="1">
      <c r="A66" s="63"/>
      <c r="B66" s="64"/>
      <c r="C66" s="65"/>
      <c r="D66" s="65"/>
      <c r="E66" s="65"/>
      <c r="F66" s="65"/>
      <c r="G66" s="65"/>
      <c r="H66" s="65"/>
      <c r="I66" s="44"/>
      <c r="J66" s="44"/>
      <c r="K66" s="44"/>
      <c r="L66" s="17"/>
      <c r="M66" s="60" t="e">
        <f>CONCATENATE(#REF!,G66)</f>
        <v>#REF!</v>
      </c>
      <c r="N66" s="60" t="str">
        <f t="shared" si="0"/>
        <v/>
      </c>
      <c r="O66" s="61" t="str">
        <f t="shared" si="4"/>
        <v>-</v>
      </c>
      <c r="P66" s="61"/>
      <c r="Q66" s="61"/>
      <c r="R66" s="61"/>
      <c r="S66" s="61"/>
      <c r="T66" s="61"/>
    </row>
    <row r="67" spans="1:76" s="62" customFormat="1" ht="35.1" customHeight="1">
      <c r="A67" s="63"/>
      <c r="B67" s="64"/>
      <c r="C67" s="65"/>
      <c r="D67" s="65"/>
      <c r="E67" s="65"/>
      <c r="F67" s="65"/>
      <c r="G67" s="65"/>
      <c r="H67" s="65"/>
      <c r="I67" s="44"/>
      <c r="J67" s="44"/>
      <c r="K67" s="44"/>
      <c r="L67" s="17"/>
      <c r="M67" s="60" t="e">
        <f>CONCATENATE(#REF!,G67)</f>
        <v>#REF!</v>
      </c>
      <c r="N67" s="60" t="str">
        <f t="shared" si="0"/>
        <v/>
      </c>
      <c r="O67" s="61" t="str">
        <f t="shared" si="4"/>
        <v>-</v>
      </c>
      <c r="P67" s="61"/>
      <c r="Q67" s="61"/>
      <c r="R67" s="61"/>
      <c r="S67" s="61"/>
      <c r="T67" s="61"/>
    </row>
    <row r="68" spans="1:76" s="62" customFormat="1" ht="35.1" customHeight="1">
      <c r="A68" s="63"/>
      <c r="B68" s="64"/>
      <c r="C68" s="65"/>
      <c r="D68" s="65"/>
      <c r="E68" s="65"/>
      <c r="F68" s="65"/>
      <c r="G68" s="65"/>
      <c r="H68" s="65"/>
      <c r="I68" s="44"/>
      <c r="J68" s="44"/>
      <c r="K68" s="44"/>
      <c r="L68" s="17"/>
      <c r="M68" s="60" t="e">
        <f>CONCATENATE(#REF!,G68)</f>
        <v>#REF!</v>
      </c>
      <c r="N68" s="60" t="str">
        <f t="shared" si="0"/>
        <v/>
      </c>
      <c r="O68" s="61" t="str">
        <f t="shared" si="4"/>
        <v>-</v>
      </c>
      <c r="P68" s="61"/>
      <c r="Q68" s="61"/>
      <c r="R68" s="61"/>
      <c r="S68" s="61"/>
      <c r="T68" s="61"/>
    </row>
    <row r="69" spans="1:76" s="62" customFormat="1" ht="35.1" customHeight="1">
      <c r="A69" s="63"/>
      <c r="B69" s="64"/>
      <c r="C69" s="65"/>
      <c r="D69" s="65"/>
      <c r="E69" s="65"/>
      <c r="F69" s="65"/>
      <c r="G69" s="65"/>
      <c r="H69" s="65"/>
      <c r="I69" s="44"/>
      <c r="J69" s="44"/>
      <c r="K69" s="44"/>
      <c r="L69" s="17"/>
      <c r="M69" s="60" t="e">
        <f>CONCATENATE(#REF!,G69)</f>
        <v>#REF!</v>
      </c>
      <c r="N69" s="60" t="str">
        <f t="shared" si="0"/>
        <v/>
      </c>
      <c r="O69" s="61" t="str">
        <f t="shared" si="4"/>
        <v>-</v>
      </c>
      <c r="P69" s="61"/>
      <c r="Q69" s="61"/>
      <c r="R69" s="61"/>
      <c r="S69" s="61"/>
      <c r="T69" s="61"/>
    </row>
    <row r="70" spans="1:76" s="73" customFormat="1" ht="35.1" customHeight="1">
      <c r="A70" s="66" t="s">
        <v>41</v>
      </c>
      <c r="B70" s="67"/>
      <c r="C70" s="68"/>
      <c r="D70" s="69"/>
      <c r="E70" s="69"/>
      <c r="F70" s="69">
        <f>SUM(F50:F69)</f>
        <v>0</v>
      </c>
      <c r="G70" s="70"/>
      <c r="H70" s="70"/>
      <c r="I70" s="70"/>
      <c r="J70" s="70"/>
      <c r="K70" s="70"/>
      <c r="L70" s="71"/>
      <c r="M70" s="60" t="e">
        <f>CONCATENATE(#REF!,G70)</f>
        <v>#REF!</v>
      </c>
      <c r="N70" s="60" t="str">
        <f t="shared" si="0"/>
        <v/>
      </c>
      <c r="O70" s="61"/>
      <c r="P70" s="61"/>
      <c r="Q70" s="61"/>
      <c r="R70" s="61"/>
      <c r="S70" s="61"/>
      <c r="T70" s="61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</row>
    <row r="71" spans="1:76" s="62" customFormat="1" ht="35.1" customHeight="1">
      <c r="A71" s="58"/>
      <c r="B71" s="82"/>
      <c r="C71" s="59"/>
      <c r="D71" s="59"/>
      <c r="E71" s="59"/>
      <c r="F71" s="59"/>
      <c r="G71" s="59"/>
      <c r="H71" s="59"/>
      <c r="I71" s="43"/>
      <c r="J71" s="43"/>
      <c r="K71" s="43"/>
      <c r="L71" s="16"/>
      <c r="M71" s="60" t="e">
        <f>CONCATENATE(#REF!,G71)</f>
        <v>#REF!</v>
      </c>
      <c r="N71" s="60" t="str">
        <f t="shared" ref="N71:N134" si="5">CONCATENATE(C71,G71)</f>
        <v/>
      </c>
      <c r="O71" s="61" t="str">
        <f t="shared" ref="O71:O90" si="6">IF(D71&gt;=F71,"-","err")</f>
        <v>-</v>
      </c>
      <c r="P71" s="61"/>
      <c r="Q71" s="61"/>
      <c r="R71" s="61"/>
      <c r="S71" s="61"/>
      <c r="T71" s="61"/>
    </row>
    <row r="72" spans="1:76" s="62" customFormat="1" ht="35.1" customHeight="1">
      <c r="A72" s="92"/>
      <c r="B72" s="96"/>
      <c r="C72" s="93"/>
      <c r="D72" s="93"/>
      <c r="E72" s="93"/>
      <c r="F72" s="93"/>
      <c r="G72" s="93"/>
      <c r="H72" s="93"/>
      <c r="I72" s="94"/>
      <c r="J72" s="94"/>
      <c r="K72" s="94"/>
      <c r="L72" s="95"/>
      <c r="M72" s="60" t="e">
        <f>CONCATENATE(#REF!,G72)</f>
        <v>#REF!</v>
      </c>
      <c r="N72" s="60" t="str">
        <f t="shared" si="5"/>
        <v/>
      </c>
      <c r="O72" s="61" t="str">
        <f t="shared" si="6"/>
        <v>-</v>
      </c>
      <c r="P72" s="61"/>
      <c r="Q72" s="61"/>
      <c r="R72" s="61"/>
      <c r="S72" s="61"/>
      <c r="T72" s="61"/>
    </row>
    <row r="73" spans="1:76" s="62" customFormat="1" ht="35.1" customHeight="1">
      <c r="A73" s="63"/>
      <c r="B73" s="83"/>
      <c r="C73" s="65"/>
      <c r="D73" s="65"/>
      <c r="E73" s="65"/>
      <c r="F73" s="65"/>
      <c r="G73" s="65"/>
      <c r="H73" s="65"/>
      <c r="I73" s="44"/>
      <c r="J73" s="44">
        <v>0</v>
      </c>
      <c r="K73" s="44">
        <v>0</v>
      </c>
      <c r="L73" s="17"/>
      <c r="M73" s="60" t="e">
        <f>CONCATENATE(#REF!,G73)</f>
        <v>#REF!</v>
      </c>
      <c r="N73" s="60" t="str">
        <f t="shared" si="5"/>
        <v/>
      </c>
      <c r="O73" s="61" t="str">
        <f t="shared" si="6"/>
        <v>-</v>
      </c>
      <c r="P73" s="61"/>
      <c r="Q73" s="61"/>
      <c r="R73" s="61"/>
      <c r="S73" s="61"/>
      <c r="T73" s="61"/>
    </row>
    <row r="74" spans="1:76" s="62" customFormat="1" ht="35.1" customHeight="1">
      <c r="A74" s="63"/>
      <c r="B74" s="84"/>
      <c r="C74" s="65"/>
      <c r="D74" s="65"/>
      <c r="E74" s="65"/>
      <c r="F74" s="65"/>
      <c r="G74" s="65"/>
      <c r="H74" s="65"/>
      <c r="I74" s="44"/>
      <c r="J74" s="44">
        <v>0</v>
      </c>
      <c r="K74" s="44">
        <v>0</v>
      </c>
      <c r="L74" s="17"/>
      <c r="M74" s="60" t="e">
        <f>CONCATENATE(#REF!,G74)</f>
        <v>#REF!</v>
      </c>
      <c r="N74" s="60" t="str">
        <f t="shared" si="5"/>
        <v/>
      </c>
      <c r="O74" s="61" t="str">
        <f t="shared" si="6"/>
        <v>-</v>
      </c>
      <c r="P74" s="61"/>
      <c r="Q74" s="61"/>
      <c r="R74" s="61"/>
      <c r="S74" s="61"/>
      <c r="T74" s="61"/>
    </row>
    <row r="75" spans="1:76" s="62" customFormat="1" ht="35.1" customHeight="1">
      <c r="A75" s="63"/>
      <c r="B75" s="89"/>
      <c r="C75" s="65"/>
      <c r="D75" s="65"/>
      <c r="E75" s="65"/>
      <c r="F75" s="65"/>
      <c r="G75" s="65"/>
      <c r="H75" s="65"/>
      <c r="I75" s="44"/>
      <c r="J75" s="44">
        <v>0</v>
      </c>
      <c r="K75" s="44">
        <v>0</v>
      </c>
      <c r="L75" s="17"/>
      <c r="M75" s="60" t="e">
        <f>CONCATENATE(#REF!,G75)</f>
        <v>#REF!</v>
      </c>
      <c r="N75" s="60" t="str">
        <f t="shared" si="5"/>
        <v/>
      </c>
      <c r="O75" s="61" t="str">
        <f t="shared" si="6"/>
        <v>-</v>
      </c>
      <c r="P75" s="61"/>
      <c r="Q75" s="61"/>
      <c r="R75" s="61"/>
      <c r="S75" s="61"/>
      <c r="T75" s="61"/>
    </row>
    <row r="76" spans="1:76" s="62" customFormat="1" ht="35.1" customHeight="1">
      <c r="A76" s="63"/>
      <c r="B76" s="89"/>
      <c r="C76" s="65"/>
      <c r="D76" s="65"/>
      <c r="E76" s="65"/>
      <c r="F76" s="65"/>
      <c r="G76" s="65"/>
      <c r="H76" s="65"/>
      <c r="I76" s="44"/>
      <c r="J76" s="44">
        <v>0</v>
      </c>
      <c r="K76" s="44">
        <v>0</v>
      </c>
      <c r="L76" s="17"/>
      <c r="M76" s="60" t="e">
        <f>CONCATENATE(#REF!,G76)</f>
        <v>#REF!</v>
      </c>
      <c r="N76" s="60" t="str">
        <f t="shared" si="5"/>
        <v/>
      </c>
      <c r="O76" s="61" t="str">
        <f t="shared" si="6"/>
        <v>-</v>
      </c>
      <c r="P76" s="61"/>
      <c r="Q76" s="61"/>
      <c r="R76" s="61"/>
      <c r="S76" s="61"/>
      <c r="T76" s="61"/>
    </row>
    <row r="77" spans="1:76" s="62" customFormat="1" ht="35.1" customHeight="1">
      <c r="A77" s="63"/>
      <c r="B77" s="89"/>
      <c r="C77" s="65"/>
      <c r="D77" s="65"/>
      <c r="E77" s="65"/>
      <c r="F77" s="65"/>
      <c r="G77" s="65"/>
      <c r="H77" s="65"/>
      <c r="I77" s="44"/>
      <c r="J77" s="44">
        <v>0</v>
      </c>
      <c r="K77" s="44">
        <v>0</v>
      </c>
      <c r="L77" s="17"/>
      <c r="M77" s="60" t="e">
        <f>CONCATENATE(#REF!,G77)</f>
        <v>#REF!</v>
      </c>
      <c r="N77" s="60" t="str">
        <f t="shared" si="5"/>
        <v/>
      </c>
      <c r="O77" s="61" t="str">
        <f t="shared" si="6"/>
        <v>-</v>
      </c>
      <c r="P77" s="61"/>
      <c r="Q77" s="61"/>
      <c r="R77" s="61"/>
      <c r="S77" s="61"/>
      <c r="T77" s="61"/>
    </row>
    <row r="78" spans="1:76" s="62" customFormat="1" ht="35.1" customHeight="1">
      <c r="A78" s="63"/>
      <c r="B78" s="89"/>
      <c r="C78" s="65"/>
      <c r="D78" s="65"/>
      <c r="E78" s="65"/>
      <c r="F78" s="65"/>
      <c r="G78" s="65"/>
      <c r="H78" s="65"/>
      <c r="I78" s="44"/>
      <c r="J78" s="44"/>
      <c r="K78" s="44"/>
      <c r="L78" s="17"/>
      <c r="M78" s="60" t="e">
        <f>CONCATENATE(#REF!,G78)</f>
        <v>#REF!</v>
      </c>
      <c r="N78" s="60" t="str">
        <f t="shared" si="5"/>
        <v/>
      </c>
      <c r="O78" s="61" t="str">
        <f t="shared" si="6"/>
        <v>-</v>
      </c>
      <c r="P78" s="61"/>
      <c r="Q78" s="61"/>
      <c r="R78" s="61"/>
      <c r="S78" s="61"/>
      <c r="T78" s="61"/>
    </row>
    <row r="79" spans="1:76" s="62" customFormat="1" ht="35.1" customHeight="1">
      <c r="A79" s="63"/>
      <c r="B79" s="89"/>
      <c r="C79" s="65"/>
      <c r="D79" s="65"/>
      <c r="E79" s="65"/>
      <c r="F79" s="65"/>
      <c r="G79" s="65"/>
      <c r="H79" s="65"/>
      <c r="I79" s="44"/>
      <c r="J79" s="44">
        <v>0</v>
      </c>
      <c r="K79" s="44">
        <v>0</v>
      </c>
      <c r="L79" s="17"/>
      <c r="M79" s="60" t="e">
        <f>CONCATENATE(#REF!,G79)</f>
        <v>#REF!</v>
      </c>
      <c r="N79" s="60" t="str">
        <f t="shared" si="5"/>
        <v/>
      </c>
      <c r="O79" s="61" t="str">
        <f t="shared" si="6"/>
        <v>-</v>
      </c>
      <c r="P79" s="61"/>
      <c r="Q79" s="61"/>
      <c r="R79" s="61"/>
      <c r="S79" s="61"/>
      <c r="T79" s="61"/>
    </row>
    <row r="80" spans="1:76" s="62" customFormat="1" ht="35.1" customHeight="1">
      <c r="A80" s="63"/>
      <c r="B80" s="89"/>
      <c r="C80" s="65"/>
      <c r="D80" s="65"/>
      <c r="E80" s="65"/>
      <c r="F80" s="65"/>
      <c r="G80" s="65"/>
      <c r="H80" s="65"/>
      <c r="I80" s="44"/>
      <c r="J80" s="44">
        <v>0</v>
      </c>
      <c r="K80" s="44">
        <v>0</v>
      </c>
      <c r="L80" s="17"/>
      <c r="M80" s="60" t="e">
        <f>CONCATENATE(#REF!,G80)</f>
        <v>#REF!</v>
      </c>
      <c r="N80" s="60" t="str">
        <f t="shared" si="5"/>
        <v/>
      </c>
      <c r="O80" s="61" t="str">
        <f t="shared" si="6"/>
        <v>-</v>
      </c>
      <c r="P80" s="61"/>
      <c r="Q80" s="61"/>
      <c r="R80" s="61"/>
      <c r="S80" s="61"/>
      <c r="T80" s="61"/>
    </row>
    <row r="81" spans="1:76" s="62" customFormat="1" ht="35.1" customHeight="1">
      <c r="A81" s="63"/>
      <c r="B81" s="89"/>
      <c r="C81" s="65"/>
      <c r="D81" s="65"/>
      <c r="E81" s="65"/>
      <c r="F81" s="65"/>
      <c r="G81" s="65"/>
      <c r="H81" s="65"/>
      <c r="I81" s="44"/>
      <c r="J81" s="44">
        <v>0</v>
      </c>
      <c r="K81" s="44">
        <v>0</v>
      </c>
      <c r="L81" s="17"/>
      <c r="M81" s="60" t="e">
        <f>CONCATENATE(#REF!,G81)</f>
        <v>#REF!</v>
      </c>
      <c r="N81" s="60" t="str">
        <f t="shared" si="5"/>
        <v/>
      </c>
      <c r="O81" s="61" t="str">
        <f t="shared" si="6"/>
        <v>-</v>
      </c>
      <c r="P81" s="61"/>
      <c r="Q81" s="61"/>
      <c r="R81" s="61"/>
      <c r="S81" s="61"/>
      <c r="T81" s="61"/>
    </row>
    <row r="82" spans="1:76" s="62" customFormat="1" ht="35.1" customHeight="1">
      <c r="A82" s="63"/>
      <c r="B82" s="64"/>
      <c r="C82" s="65"/>
      <c r="D82" s="65"/>
      <c r="E82" s="65"/>
      <c r="F82" s="65"/>
      <c r="G82" s="65"/>
      <c r="H82" s="65"/>
      <c r="I82" s="44"/>
      <c r="J82" s="44"/>
      <c r="K82" s="44"/>
      <c r="L82" s="17"/>
      <c r="M82" s="60" t="e">
        <f>CONCATENATE(#REF!,G82)</f>
        <v>#REF!</v>
      </c>
      <c r="N82" s="60" t="str">
        <f t="shared" si="5"/>
        <v/>
      </c>
      <c r="O82" s="61" t="str">
        <f t="shared" si="6"/>
        <v>-</v>
      </c>
      <c r="P82" s="61"/>
      <c r="Q82" s="61"/>
      <c r="R82" s="61"/>
      <c r="S82" s="61"/>
      <c r="T82" s="61"/>
    </row>
    <row r="83" spans="1:76" s="62" customFormat="1" ht="35.1" customHeight="1">
      <c r="A83" s="63"/>
      <c r="B83" s="64"/>
      <c r="C83" s="65"/>
      <c r="D83" s="65"/>
      <c r="E83" s="65"/>
      <c r="F83" s="65"/>
      <c r="G83" s="65"/>
      <c r="H83" s="65"/>
      <c r="I83" s="44"/>
      <c r="J83" s="44"/>
      <c r="K83" s="44"/>
      <c r="L83" s="17"/>
      <c r="M83" s="60" t="e">
        <f>CONCATENATE(#REF!,G83)</f>
        <v>#REF!</v>
      </c>
      <c r="N83" s="60" t="str">
        <f t="shared" si="5"/>
        <v/>
      </c>
      <c r="O83" s="61" t="str">
        <f t="shared" si="6"/>
        <v>-</v>
      </c>
      <c r="P83" s="61"/>
      <c r="Q83" s="61"/>
      <c r="R83" s="61"/>
      <c r="S83" s="61"/>
      <c r="T83" s="61"/>
    </row>
    <row r="84" spans="1:76" s="62" customFormat="1" ht="35.1" customHeight="1">
      <c r="A84" s="63"/>
      <c r="B84" s="64"/>
      <c r="C84" s="65"/>
      <c r="D84" s="65"/>
      <c r="E84" s="65"/>
      <c r="F84" s="65"/>
      <c r="G84" s="65"/>
      <c r="H84" s="65"/>
      <c r="I84" s="44"/>
      <c r="J84" s="44"/>
      <c r="K84" s="44"/>
      <c r="L84" s="17"/>
      <c r="M84" s="60" t="e">
        <f>CONCATENATE(#REF!,G84)</f>
        <v>#REF!</v>
      </c>
      <c r="N84" s="60" t="str">
        <f t="shared" si="5"/>
        <v/>
      </c>
      <c r="O84" s="61" t="str">
        <f t="shared" si="6"/>
        <v>-</v>
      </c>
      <c r="P84" s="61"/>
      <c r="Q84" s="61"/>
      <c r="R84" s="61"/>
      <c r="S84" s="61"/>
      <c r="T84" s="61"/>
    </row>
    <row r="85" spans="1:76" s="62" customFormat="1" ht="35.1" customHeight="1">
      <c r="A85" s="63"/>
      <c r="B85" s="64"/>
      <c r="C85" s="65"/>
      <c r="D85" s="65"/>
      <c r="E85" s="65"/>
      <c r="F85" s="65"/>
      <c r="G85" s="65"/>
      <c r="H85" s="65"/>
      <c r="I85" s="44"/>
      <c r="J85" s="44"/>
      <c r="K85" s="44"/>
      <c r="L85" s="17"/>
      <c r="M85" s="60" t="e">
        <f>CONCATENATE(#REF!,G85)</f>
        <v>#REF!</v>
      </c>
      <c r="N85" s="60" t="str">
        <f t="shared" si="5"/>
        <v/>
      </c>
      <c r="O85" s="61" t="str">
        <f t="shared" si="6"/>
        <v>-</v>
      </c>
      <c r="P85" s="61"/>
      <c r="Q85" s="61"/>
      <c r="R85" s="61"/>
      <c r="S85" s="61"/>
      <c r="T85" s="61"/>
    </row>
    <row r="86" spans="1:76" s="62" customFormat="1" ht="35.1" customHeight="1">
      <c r="A86" s="63"/>
      <c r="B86" s="64"/>
      <c r="C86" s="65"/>
      <c r="D86" s="65"/>
      <c r="E86" s="65"/>
      <c r="F86" s="65"/>
      <c r="G86" s="65"/>
      <c r="H86" s="65"/>
      <c r="I86" s="44"/>
      <c r="J86" s="44"/>
      <c r="K86" s="44"/>
      <c r="L86" s="17"/>
      <c r="M86" s="60" t="e">
        <f>CONCATENATE(#REF!,G86)</f>
        <v>#REF!</v>
      </c>
      <c r="N86" s="60" t="str">
        <f t="shared" si="5"/>
        <v/>
      </c>
      <c r="O86" s="61" t="str">
        <f t="shared" si="6"/>
        <v>-</v>
      </c>
      <c r="P86" s="61"/>
      <c r="Q86" s="61"/>
      <c r="R86" s="61"/>
      <c r="S86" s="61"/>
      <c r="T86" s="61"/>
    </row>
    <row r="87" spans="1:76" s="62" customFormat="1" ht="35.1" customHeight="1">
      <c r="A87" s="63"/>
      <c r="B87" s="64"/>
      <c r="C87" s="65"/>
      <c r="D87" s="65"/>
      <c r="E87" s="65"/>
      <c r="F87" s="65"/>
      <c r="G87" s="65"/>
      <c r="H87" s="65"/>
      <c r="I87" s="44"/>
      <c r="J87" s="44"/>
      <c r="K87" s="44"/>
      <c r="L87" s="17"/>
      <c r="M87" s="60" t="e">
        <f>CONCATENATE(#REF!,G87)</f>
        <v>#REF!</v>
      </c>
      <c r="N87" s="60" t="str">
        <f t="shared" si="5"/>
        <v/>
      </c>
      <c r="O87" s="61" t="str">
        <f t="shared" si="6"/>
        <v>-</v>
      </c>
      <c r="P87" s="61"/>
      <c r="Q87" s="61"/>
      <c r="R87" s="61"/>
      <c r="S87" s="61"/>
      <c r="T87" s="61"/>
    </row>
    <row r="88" spans="1:76" s="62" customFormat="1" ht="35.1" customHeight="1">
      <c r="A88" s="63"/>
      <c r="B88" s="64"/>
      <c r="C88" s="65"/>
      <c r="D88" s="65"/>
      <c r="E88" s="65"/>
      <c r="F88" s="65"/>
      <c r="G88" s="65"/>
      <c r="H88" s="65"/>
      <c r="I88" s="44"/>
      <c r="J88" s="44"/>
      <c r="K88" s="44"/>
      <c r="L88" s="17"/>
      <c r="M88" s="60" t="e">
        <f>CONCATENATE(#REF!,G88)</f>
        <v>#REF!</v>
      </c>
      <c r="N88" s="60" t="str">
        <f t="shared" si="5"/>
        <v/>
      </c>
      <c r="O88" s="61" t="str">
        <f t="shared" si="6"/>
        <v>-</v>
      </c>
      <c r="P88" s="61"/>
      <c r="Q88" s="61"/>
      <c r="R88" s="61"/>
      <c r="S88" s="61"/>
      <c r="T88" s="61"/>
    </row>
    <row r="89" spans="1:76" s="62" customFormat="1" ht="35.1" customHeight="1">
      <c r="A89" s="63"/>
      <c r="B89" s="64"/>
      <c r="C89" s="65"/>
      <c r="D89" s="65"/>
      <c r="E89" s="65"/>
      <c r="F89" s="65"/>
      <c r="G89" s="65"/>
      <c r="H89" s="65"/>
      <c r="I89" s="44"/>
      <c r="J89" s="44"/>
      <c r="K89" s="44"/>
      <c r="L89" s="17"/>
      <c r="M89" s="60" t="e">
        <f>CONCATENATE(#REF!,G89)</f>
        <v>#REF!</v>
      </c>
      <c r="N89" s="60" t="str">
        <f t="shared" si="5"/>
        <v/>
      </c>
      <c r="O89" s="61" t="str">
        <f t="shared" si="6"/>
        <v>-</v>
      </c>
      <c r="P89" s="61"/>
      <c r="Q89" s="61"/>
      <c r="R89" s="61"/>
      <c r="S89" s="61"/>
      <c r="T89" s="61"/>
    </row>
    <row r="90" spans="1:76" s="62" customFormat="1" ht="35.1" customHeight="1">
      <c r="A90" s="63"/>
      <c r="B90" s="64"/>
      <c r="C90" s="65"/>
      <c r="D90" s="65"/>
      <c r="E90" s="65"/>
      <c r="F90" s="65"/>
      <c r="G90" s="65"/>
      <c r="H90" s="65"/>
      <c r="I90" s="44"/>
      <c r="J90" s="44"/>
      <c r="K90" s="44"/>
      <c r="L90" s="17"/>
      <c r="M90" s="60" t="e">
        <f>CONCATENATE(#REF!,G90)</f>
        <v>#REF!</v>
      </c>
      <c r="N90" s="60" t="str">
        <f t="shared" si="5"/>
        <v/>
      </c>
      <c r="O90" s="61" t="str">
        <f t="shared" si="6"/>
        <v>-</v>
      </c>
      <c r="P90" s="61"/>
      <c r="Q90" s="61"/>
      <c r="R90" s="61"/>
      <c r="S90" s="61"/>
      <c r="T90" s="61"/>
    </row>
    <row r="91" spans="1:76" s="73" customFormat="1" ht="35.1" customHeight="1">
      <c r="A91" s="66" t="s">
        <v>41</v>
      </c>
      <c r="B91" s="67"/>
      <c r="C91" s="68"/>
      <c r="D91" s="69"/>
      <c r="E91" s="69"/>
      <c r="F91" s="69">
        <f>SUM(F71:F90)</f>
        <v>0</v>
      </c>
      <c r="G91" s="70"/>
      <c r="H91" s="70"/>
      <c r="I91" s="70"/>
      <c r="J91" s="70"/>
      <c r="K91" s="70"/>
      <c r="L91" s="71"/>
      <c r="M91" s="60" t="e">
        <f>CONCATENATE(#REF!,G91)</f>
        <v>#REF!</v>
      </c>
      <c r="N91" s="60" t="str">
        <f t="shared" si="5"/>
        <v/>
      </c>
      <c r="O91" s="61"/>
      <c r="P91" s="61"/>
      <c r="Q91" s="61"/>
      <c r="R91" s="61"/>
      <c r="S91" s="61"/>
      <c r="T91" s="61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</row>
    <row r="92" spans="1:76" s="62" customFormat="1" ht="35.1" customHeight="1">
      <c r="A92" s="58"/>
      <c r="B92" s="82"/>
      <c r="C92" s="59"/>
      <c r="D92" s="59"/>
      <c r="E92" s="59"/>
      <c r="F92" s="59"/>
      <c r="G92" s="59"/>
      <c r="H92" s="59"/>
      <c r="I92" s="43"/>
      <c r="J92" s="43"/>
      <c r="K92" s="43"/>
      <c r="L92" s="16"/>
      <c r="M92" s="60" t="e">
        <f>CONCATENATE(#REF!,G92)</f>
        <v>#REF!</v>
      </c>
      <c r="N92" s="60" t="str">
        <f t="shared" si="5"/>
        <v/>
      </c>
      <c r="O92" s="61" t="str">
        <f t="shared" ref="O92:O111" si="7">IF(D92&gt;=F92,"-","err")</f>
        <v>-</v>
      </c>
      <c r="P92" s="61"/>
      <c r="Q92" s="61"/>
      <c r="R92" s="61"/>
      <c r="S92" s="61"/>
      <c r="T92" s="61"/>
    </row>
    <row r="93" spans="1:76" s="62" customFormat="1" ht="35.1" customHeight="1">
      <c r="A93" s="92"/>
      <c r="B93" s="96"/>
      <c r="C93" s="93"/>
      <c r="D93" s="93"/>
      <c r="E93" s="93"/>
      <c r="F93" s="93"/>
      <c r="G93" s="93"/>
      <c r="H93" s="93"/>
      <c r="I93" s="94"/>
      <c r="J93" s="94"/>
      <c r="K93" s="94"/>
      <c r="L93" s="95"/>
      <c r="M93" s="60" t="e">
        <f>CONCATENATE(#REF!,G93)</f>
        <v>#REF!</v>
      </c>
      <c r="N93" s="60" t="str">
        <f t="shared" si="5"/>
        <v/>
      </c>
      <c r="O93" s="61" t="str">
        <f t="shared" si="7"/>
        <v>-</v>
      </c>
      <c r="P93" s="61"/>
      <c r="Q93" s="61"/>
      <c r="R93" s="61"/>
      <c r="S93" s="61"/>
      <c r="T93" s="61"/>
    </row>
    <row r="94" spans="1:76" s="62" customFormat="1" ht="35.1" customHeight="1">
      <c r="A94" s="63"/>
      <c r="B94" s="83"/>
      <c r="C94" s="65"/>
      <c r="D94" s="65"/>
      <c r="E94" s="65"/>
      <c r="F94" s="65"/>
      <c r="G94" s="65"/>
      <c r="H94" s="65"/>
      <c r="I94" s="44">
        <v>0</v>
      </c>
      <c r="J94" s="44">
        <v>0</v>
      </c>
      <c r="K94" s="44">
        <v>0</v>
      </c>
      <c r="L94" s="17"/>
      <c r="M94" s="60" t="e">
        <f>CONCATENATE(#REF!,G94)</f>
        <v>#REF!</v>
      </c>
      <c r="N94" s="60" t="str">
        <f t="shared" si="5"/>
        <v/>
      </c>
      <c r="O94" s="61" t="str">
        <f t="shared" si="7"/>
        <v>-</v>
      </c>
      <c r="P94" s="61"/>
      <c r="Q94" s="61"/>
      <c r="R94" s="61"/>
      <c r="S94" s="61"/>
      <c r="T94" s="61"/>
    </row>
    <row r="95" spans="1:76" s="62" customFormat="1" ht="35.1" customHeight="1">
      <c r="A95" s="63"/>
      <c r="B95" s="84"/>
      <c r="C95" s="65"/>
      <c r="D95" s="65"/>
      <c r="E95" s="65"/>
      <c r="F95" s="65"/>
      <c r="G95" s="65"/>
      <c r="H95" s="65"/>
      <c r="I95" s="44">
        <v>0</v>
      </c>
      <c r="J95" s="44">
        <v>0</v>
      </c>
      <c r="K95" s="44">
        <v>0</v>
      </c>
      <c r="L95" s="17"/>
      <c r="M95" s="60" t="e">
        <f>CONCATENATE(#REF!,G95)</f>
        <v>#REF!</v>
      </c>
      <c r="N95" s="60" t="str">
        <f t="shared" si="5"/>
        <v/>
      </c>
      <c r="O95" s="61" t="str">
        <f t="shared" si="7"/>
        <v>-</v>
      </c>
      <c r="P95" s="61"/>
      <c r="Q95" s="61"/>
      <c r="R95" s="61"/>
      <c r="S95" s="61"/>
      <c r="T95" s="61"/>
    </row>
    <row r="96" spans="1:76" s="62" customFormat="1" ht="35.1" customHeight="1">
      <c r="A96" s="63"/>
      <c r="B96" s="89"/>
      <c r="C96" s="65"/>
      <c r="D96" s="65"/>
      <c r="E96" s="65"/>
      <c r="F96" s="65"/>
      <c r="G96" s="65"/>
      <c r="H96" s="65"/>
      <c r="I96" s="44">
        <v>0</v>
      </c>
      <c r="J96" s="44">
        <v>0</v>
      </c>
      <c r="K96" s="44">
        <v>0</v>
      </c>
      <c r="L96" s="17"/>
      <c r="M96" s="60" t="e">
        <f>CONCATENATE(#REF!,G96)</f>
        <v>#REF!</v>
      </c>
      <c r="N96" s="60" t="str">
        <f t="shared" si="5"/>
        <v/>
      </c>
      <c r="O96" s="61" t="str">
        <f t="shared" si="7"/>
        <v>-</v>
      </c>
      <c r="P96" s="61"/>
      <c r="Q96" s="61"/>
      <c r="R96" s="61"/>
      <c r="S96" s="61"/>
      <c r="T96" s="61"/>
    </row>
    <row r="97" spans="1:76" s="62" customFormat="1" ht="35.1" customHeight="1">
      <c r="A97" s="63"/>
      <c r="B97" s="89"/>
      <c r="C97" s="65"/>
      <c r="D97" s="65"/>
      <c r="E97" s="65"/>
      <c r="F97" s="65"/>
      <c r="G97" s="65"/>
      <c r="H97" s="65"/>
      <c r="I97" s="44">
        <v>0</v>
      </c>
      <c r="J97" s="44">
        <v>0</v>
      </c>
      <c r="K97" s="44">
        <v>0</v>
      </c>
      <c r="L97" s="17"/>
      <c r="M97" s="60" t="e">
        <f>CONCATENATE(#REF!,G97)</f>
        <v>#REF!</v>
      </c>
      <c r="N97" s="60" t="str">
        <f t="shared" si="5"/>
        <v/>
      </c>
      <c r="O97" s="61" t="str">
        <f t="shared" si="7"/>
        <v>-</v>
      </c>
      <c r="P97" s="61"/>
      <c r="Q97" s="61"/>
      <c r="R97" s="61"/>
      <c r="S97" s="61"/>
      <c r="T97" s="61"/>
    </row>
    <row r="98" spans="1:76" s="62" customFormat="1" ht="35.1" customHeight="1">
      <c r="A98" s="63"/>
      <c r="B98" s="89"/>
      <c r="C98" s="65"/>
      <c r="D98" s="65"/>
      <c r="E98" s="65"/>
      <c r="F98" s="65"/>
      <c r="G98" s="65"/>
      <c r="H98" s="65"/>
      <c r="I98" s="44"/>
      <c r="J98" s="44"/>
      <c r="K98" s="44"/>
      <c r="L98" s="17"/>
      <c r="M98" s="60" t="e">
        <f>CONCATENATE(#REF!,G98)</f>
        <v>#REF!</v>
      </c>
      <c r="N98" s="60" t="str">
        <f t="shared" si="5"/>
        <v/>
      </c>
      <c r="O98" s="61" t="str">
        <f t="shared" si="7"/>
        <v>-</v>
      </c>
      <c r="P98" s="61"/>
      <c r="Q98" s="61"/>
      <c r="R98" s="61"/>
      <c r="S98" s="61"/>
      <c r="T98" s="61"/>
    </row>
    <row r="99" spans="1:76" s="62" customFormat="1" ht="35.1" customHeight="1">
      <c r="A99" s="63"/>
      <c r="B99" s="89"/>
      <c r="C99" s="65"/>
      <c r="D99" s="65"/>
      <c r="E99" s="65"/>
      <c r="F99" s="65"/>
      <c r="G99" s="65"/>
      <c r="H99" s="65"/>
      <c r="I99" s="44"/>
      <c r="J99" s="44"/>
      <c r="K99" s="44"/>
      <c r="L99" s="17"/>
      <c r="M99" s="60" t="e">
        <f>CONCATENATE(#REF!,G99)</f>
        <v>#REF!</v>
      </c>
      <c r="N99" s="60" t="str">
        <f t="shared" si="5"/>
        <v/>
      </c>
      <c r="O99" s="61" t="str">
        <f t="shared" si="7"/>
        <v>-</v>
      </c>
      <c r="P99" s="61"/>
      <c r="Q99" s="61"/>
      <c r="R99" s="61"/>
      <c r="S99" s="61"/>
      <c r="T99" s="61"/>
    </row>
    <row r="100" spans="1:76" s="62" customFormat="1" ht="35.1" customHeight="1">
      <c r="A100" s="63"/>
      <c r="B100" s="89"/>
      <c r="C100" s="65"/>
      <c r="D100" s="65"/>
      <c r="E100" s="65"/>
      <c r="F100" s="65"/>
      <c r="G100" s="65"/>
      <c r="H100" s="65"/>
      <c r="I100" s="44"/>
      <c r="J100" s="44"/>
      <c r="K100" s="44"/>
      <c r="L100" s="17"/>
      <c r="M100" s="60" t="e">
        <f>CONCATENATE(#REF!,G100)</f>
        <v>#REF!</v>
      </c>
      <c r="N100" s="60" t="str">
        <f t="shared" si="5"/>
        <v/>
      </c>
      <c r="O100" s="61" t="str">
        <f t="shared" si="7"/>
        <v>-</v>
      </c>
      <c r="P100" s="61"/>
      <c r="Q100" s="61"/>
      <c r="R100" s="61"/>
      <c r="S100" s="61"/>
      <c r="T100" s="61"/>
    </row>
    <row r="101" spans="1:76" s="62" customFormat="1" ht="35.1" customHeight="1">
      <c r="A101" s="63"/>
      <c r="B101" s="89"/>
      <c r="C101" s="65"/>
      <c r="D101" s="65"/>
      <c r="E101" s="65"/>
      <c r="F101" s="65"/>
      <c r="G101" s="65"/>
      <c r="H101" s="65"/>
      <c r="I101" s="44">
        <v>0</v>
      </c>
      <c r="J101" s="44">
        <v>0</v>
      </c>
      <c r="K101" s="44">
        <v>0</v>
      </c>
      <c r="L101" s="17"/>
      <c r="M101" s="60" t="e">
        <f>CONCATENATE(#REF!,G101)</f>
        <v>#REF!</v>
      </c>
      <c r="N101" s="60" t="str">
        <f t="shared" si="5"/>
        <v/>
      </c>
      <c r="O101" s="61" t="str">
        <f t="shared" si="7"/>
        <v>-</v>
      </c>
      <c r="P101" s="61"/>
      <c r="Q101" s="61"/>
      <c r="R101" s="61"/>
      <c r="S101" s="61"/>
      <c r="T101" s="61"/>
    </row>
    <row r="102" spans="1:76" s="62" customFormat="1" ht="35.1" customHeight="1">
      <c r="A102" s="63"/>
      <c r="B102" s="89"/>
      <c r="C102" s="65"/>
      <c r="D102" s="65"/>
      <c r="E102" s="65"/>
      <c r="F102" s="65"/>
      <c r="G102" s="65"/>
      <c r="H102" s="65"/>
      <c r="I102" s="44">
        <v>0</v>
      </c>
      <c r="J102" s="44">
        <v>0</v>
      </c>
      <c r="K102" s="44">
        <v>0</v>
      </c>
      <c r="L102" s="17"/>
      <c r="M102" s="60" t="e">
        <f>CONCATENATE(#REF!,G102)</f>
        <v>#REF!</v>
      </c>
      <c r="N102" s="60" t="str">
        <f t="shared" si="5"/>
        <v/>
      </c>
      <c r="O102" s="61" t="str">
        <f t="shared" si="7"/>
        <v>-</v>
      </c>
      <c r="P102" s="61"/>
      <c r="Q102" s="61"/>
      <c r="R102" s="61"/>
      <c r="S102" s="61"/>
      <c r="T102" s="61"/>
    </row>
    <row r="103" spans="1:76" s="62" customFormat="1" ht="35.1" customHeight="1">
      <c r="A103" s="63"/>
      <c r="B103" s="64"/>
      <c r="C103" s="65"/>
      <c r="D103" s="65"/>
      <c r="E103" s="65"/>
      <c r="F103" s="65"/>
      <c r="G103" s="65"/>
      <c r="H103" s="65"/>
      <c r="I103" s="44"/>
      <c r="J103" s="44"/>
      <c r="K103" s="44"/>
      <c r="L103" s="17"/>
      <c r="M103" s="60" t="e">
        <f>CONCATENATE(#REF!,G103)</f>
        <v>#REF!</v>
      </c>
      <c r="N103" s="60" t="str">
        <f t="shared" si="5"/>
        <v/>
      </c>
      <c r="O103" s="61" t="str">
        <f t="shared" si="7"/>
        <v>-</v>
      </c>
      <c r="P103" s="61"/>
      <c r="Q103" s="61"/>
      <c r="R103" s="61"/>
      <c r="S103" s="61"/>
      <c r="T103" s="61"/>
    </row>
    <row r="104" spans="1:76" s="62" customFormat="1" ht="35.1" customHeight="1">
      <c r="A104" s="63"/>
      <c r="B104" s="64"/>
      <c r="C104" s="65"/>
      <c r="D104" s="65"/>
      <c r="E104" s="65"/>
      <c r="F104" s="65"/>
      <c r="G104" s="65"/>
      <c r="H104" s="65"/>
      <c r="I104" s="44"/>
      <c r="J104" s="44"/>
      <c r="K104" s="44"/>
      <c r="L104" s="17"/>
      <c r="M104" s="60" t="e">
        <f>CONCATENATE(#REF!,G104)</f>
        <v>#REF!</v>
      </c>
      <c r="N104" s="60" t="str">
        <f t="shared" si="5"/>
        <v/>
      </c>
      <c r="O104" s="61" t="str">
        <f t="shared" si="7"/>
        <v>-</v>
      </c>
      <c r="P104" s="61"/>
      <c r="Q104" s="61"/>
      <c r="R104" s="61"/>
      <c r="S104" s="61"/>
      <c r="T104" s="61"/>
    </row>
    <row r="105" spans="1:76" s="62" customFormat="1" ht="35.1" customHeight="1">
      <c r="A105" s="63"/>
      <c r="B105" s="64"/>
      <c r="C105" s="65"/>
      <c r="D105" s="65"/>
      <c r="E105" s="65"/>
      <c r="F105" s="65"/>
      <c r="G105" s="65"/>
      <c r="H105" s="65"/>
      <c r="I105" s="44"/>
      <c r="J105" s="44"/>
      <c r="K105" s="44"/>
      <c r="L105" s="17"/>
      <c r="M105" s="60" t="e">
        <f>CONCATENATE(#REF!,G105)</f>
        <v>#REF!</v>
      </c>
      <c r="N105" s="60" t="str">
        <f t="shared" si="5"/>
        <v/>
      </c>
      <c r="O105" s="61" t="str">
        <f t="shared" si="7"/>
        <v>-</v>
      </c>
      <c r="P105" s="61"/>
      <c r="Q105" s="61"/>
      <c r="R105" s="61"/>
      <c r="S105" s="61"/>
      <c r="T105" s="61"/>
    </row>
    <row r="106" spans="1:76" s="62" customFormat="1" ht="35.1" customHeight="1">
      <c r="A106" s="63"/>
      <c r="B106" s="64"/>
      <c r="C106" s="65"/>
      <c r="D106" s="65"/>
      <c r="E106" s="65"/>
      <c r="F106" s="65"/>
      <c r="G106" s="65"/>
      <c r="H106" s="65"/>
      <c r="I106" s="44"/>
      <c r="J106" s="44"/>
      <c r="K106" s="44"/>
      <c r="L106" s="17"/>
      <c r="M106" s="60" t="e">
        <f>CONCATENATE(#REF!,G106)</f>
        <v>#REF!</v>
      </c>
      <c r="N106" s="60" t="str">
        <f t="shared" si="5"/>
        <v/>
      </c>
      <c r="O106" s="61" t="str">
        <f t="shared" si="7"/>
        <v>-</v>
      </c>
      <c r="P106" s="61"/>
      <c r="Q106" s="61"/>
      <c r="R106" s="61"/>
      <c r="S106" s="61"/>
      <c r="T106" s="61"/>
    </row>
    <row r="107" spans="1:76" s="62" customFormat="1" ht="35.1" customHeight="1">
      <c r="A107" s="63"/>
      <c r="B107" s="64"/>
      <c r="C107" s="65"/>
      <c r="D107" s="65"/>
      <c r="E107" s="65"/>
      <c r="F107" s="65"/>
      <c r="G107" s="65"/>
      <c r="H107" s="65"/>
      <c r="I107" s="44"/>
      <c r="J107" s="44"/>
      <c r="K107" s="44"/>
      <c r="L107" s="17"/>
      <c r="M107" s="60" t="e">
        <f>CONCATENATE(#REF!,G107)</f>
        <v>#REF!</v>
      </c>
      <c r="N107" s="60" t="str">
        <f t="shared" si="5"/>
        <v/>
      </c>
      <c r="O107" s="61" t="str">
        <f t="shared" si="7"/>
        <v>-</v>
      </c>
      <c r="P107" s="61"/>
      <c r="Q107" s="61"/>
      <c r="R107" s="61"/>
      <c r="S107" s="61"/>
      <c r="T107" s="61"/>
    </row>
    <row r="108" spans="1:76" s="62" customFormat="1" ht="35.1" customHeight="1">
      <c r="A108" s="63"/>
      <c r="B108" s="64"/>
      <c r="C108" s="65"/>
      <c r="D108" s="65"/>
      <c r="E108" s="65"/>
      <c r="F108" s="65"/>
      <c r="G108" s="65"/>
      <c r="H108" s="65"/>
      <c r="I108" s="44"/>
      <c r="J108" s="44"/>
      <c r="K108" s="44"/>
      <c r="L108" s="17"/>
      <c r="M108" s="60" t="e">
        <f>CONCATENATE(#REF!,G108)</f>
        <v>#REF!</v>
      </c>
      <c r="N108" s="60" t="str">
        <f t="shared" si="5"/>
        <v/>
      </c>
      <c r="O108" s="61" t="str">
        <f t="shared" si="7"/>
        <v>-</v>
      </c>
      <c r="P108" s="61"/>
      <c r="Q108" s="61"/>
      <c r="R108" s="61"/>
      <c r="S108" s="61"/>
      <c r="T108" s="61"/>
    </row>
    <row r="109" spans="1:76" s="62" customFormat="1" ht="35.1" customHeight="1">
      <c r="A109" s="63"/>
      <c r="B109" s="64"/>
      <c r="C109" s="65"/>
      <c r="D109" s="65"/>
      <c r="E109" s="65"/>
      <c r="F109" s="65"/>
      <c r="G109" s="65"/>
      <c r="H109" s="65"/>
      <c r="I109" s="44"/>
      <c r="J109" s="44"/>
      <c r="K109" s="44"/>
      <c r="L109" s="17"/>
      <c r="M109" s="60" t="e">
        <f>CONCATENATE(#REF!,G109)</f>
        <v>#REF!</v>
      </c>
      <c r="N109" s="60" t="str">
        <f t="shared" si="5"/>
        <v/>
      </c>
      <c r="O109" s="61" t="str">
        <f t="shared" si="7"/>
        <v>-</v>
      </c>
      <c r="P109" s="61"/>
      <c r="Q109" s="61"/>
      <c r="R109" s="61"/>
      <c r="S109" s="61"/>
      <c r="T109" s="61"/>
    </row>
    <row r="110" spans="1:76" s="62" customFormat="1" ht="35.1" customHeight="1">
      <c r="A110" s="63"/>
      <c r="B110" s="64"/>
      <c r="C110" s="65"/>
      <c r="D110" s="65"/>
      <c r="E110" s="65"/>
      <c r="F110" s="65"/>
      <c r="G110" s="65"/>
      <c r="H110" s="65"/>
      <c r="I110" s="44"/>
      <c r="J110" s="44"/>
      <c r="K110" s="44"/>
      <c r="L110" s="17"/>
      <c r="M110" s="60" t="e">
        <f>CONCATENATE(#REF!,G110)</f>
        <v>#REF!</v>
      </c>
      <c r="N110" s="60" t="str">
        <f t="shared" si="5"/>
        <v/>
      </c>
      <c r="O110" s="61" t="str">
        <f t="shared" si="7"/>
        <v>-</v>
      </c>
      <c r="P110" s="61"/>
      <c r="Q110" s="61"/>
      <c r="R110" s="61"/>
      <c r="S110" s="61"/>
      <c r="T110" s="61"/>
    </row>
    <row r="111" spans="1:76" s="62" customFormat="1" ht="35.1" customHeight="1">
      <c r="A111" s="63"/>
      <c r="B111" s="64"/>
      <c r="C111" s="65"/>
      <c r="D111" s="65"/>
      <c r="E111" s="65"/>
      <c r="F111" s="65"/>
      <c r="G111" s="65"/>
      <c r="H111" s="65"/>
      <c r="I111" s="44"/>
      <c r="J111" s="44"/>
      <c r="K111" s="44"/>
      <c r="L111" s="17"/>
      <c r="M111" s="60" t="e">
        <f>CONCATENATE(#REF!,G111)</f>
        <v>#REF!</v>
      </c>
      <c r="N111" s="60" t="str">
        <f t="shared" si="5"/>
        <v/>
      </c>
      <c r="O111" s="61" t="str">
        <f t="shared" si="7"/>
        <v>-</v>
      </c>
      <c r="P111" s="61"/>
      <c r="Q111" s="61"/>
      <c r="R111" s="61"/>
      <c r="S111" s="61"/>
      <c r="T111" s="61"/>
    </row>
    <row r="112" spans="1:76" s="73" customFormat="1" ht="35.1" customHeight="1">
      <c r="A112" s="66" t="s">
        <v>41</v>
      </c>
      <c r="B112" s="67"/>
      <c r="C112" s="68"/>
      <c r="D112" s="69"/>
      <c r="E112" s="69"/>
      <c r="F112" s="69">
        <f>SUM(F92:F111)</f>
        <v>0</v>
      </c>
      <c r="G112" s="70"/>
      <c r="H112" s="70"/>
      <c r="I112" s="70"/>
      <c r="J112" s="70"/>
      <c r="K112" s="70"/>
      <c r="L112" s="71"/>
      <c r="M112" s="60" t="e">
        <f>CONCATENATE(#REF!,G112)</f>
        <v>#REF!</v>
      </c>
      <c r="N112" s="60" t="str">
        <f t="shared" si="5"/>
        <v/>
      </c>
      <c r="O112" s="61"/>
      <c r="P112" s="61"/>
      <c r="Q112" s="61"/>
      <c r="R112" s="61"/>
      <c r="S112" s="61"/>
      <c r="T112" s="61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</row>
    <row r="113" spans="1:20" s="62" customFormat="1" ht="35.1" customHeight="1">
      <c r="A113" s="58"/>
      <c r="B113" s="82"/>
      <c r="C113" s="59"/>
      <c r="D113" s="59"/>
      <c r="E113" s="59"/>
      <c r="F113" s="59"/>
      <c r="G113" s="59"/>
      <c r="H113" s="59"/>
      <c r="I113" s="43"/>
      <c r="J113" s="43"/>
      <c r="K113" s="43"/>
      <c r="L113" s="16"/>
      <c r="M113" s="60" t="e">
        <f>CONCATENATE(#REF!,G113)</f>
        <v>#REF!</v>
      </c>
      <c r="N113" s="60" t="str">
        <f t="shared" si="5"/>
        <v/>
      </c>
      <c r="O113" s="61" t="str">
        <f t="shared" ref="O113:O132" si="8">IF(D113&gt;=F113,"-","err")</f>
        <v>-</v>
      </c>
      <c r="P113" s="61"/>
      <c r="Q113" s="61"/>
      <c r="R113" s="61"/>
      <c r="S113" s="61"/>
      <c r="T113" s="61"/>
    </row>
    <row r="114" spans="1:20" s="62" customFormat="1" ht="35.1" customHeight="1">
      <c r="A114" s="92"/>
      <c r="B114" s="96"/>
      <c r="C114" s="93"/>
      <c r="D114" s="93"/>
      <c r="E114" s="93"/>
      <c r="F114" s="93"/>
      <c r="G114" s="93"/>
      <c r="H114" s="93"/>
      <c r="I114" s="94"/>
      <c r="J114" s="94"/>
      <c r="K114" s="94"/>
      <c r="L114" s="95"/>
      <c r="M114" s="60" t="e">
        <f>CONCATENATE(#REF!,G114)</f>
        <v>#REF!</v>
      </c>
      <c r="N114" s="60" t="str">
        <f t="shared" si="5"/>
        <v/>
      </c>
      <c r="O114" s="61" t="str">
        <f t="shared" si="8"/>
        <v>-</v>
      </c>
      <c r="P114" s="61"/>
      <c r="Q114" s="61"/>
      <c r="R114" s="61"/>
      <c r="S114" s="61"/>
      <c r="T114" s="61"/>
    </row>
    <row r="115" spans="1:20" s="62" customFormat="1" ht="35.1" customHeight="1">
      <c r="A115" s="63"/>
      <c r="B115" s="83"/>
      <c r="C115" s="65"/>
      <c r="D115" s="65"/>
      <c r="E115" s="65"/>
      <c r="F115" s="65"/>
      <c r="G115" s="65"/>
      <c r="H115" s="65"/>
      <c r="I115" s="44"/>
      <c r="J115" s="44">
        <v>0</v>
      </c>
      <c r="K115" s="44">
        <v>0</v>
      </c>
      <c r="L115" s="17"/>
      <c r="M115" s="60" t="e">
        <f>CONCATENATE(#REF!,G115)</f>
        <v>#REF!</v>
      </c>
      <c r="N115" s="60" t="str">
        <f t="shared" si="5"/>
        <v/>
      </c>
      <c r="O115" s="61" t="str">
        <f t="shared" si="8"/>
        <v>-</v>
      </c>
      <c r="P115" s="61"/>
      <c r="Q115" s="61"/>
      <c r="R115" s="61"/>
      <c r="S115" s="61"/>
      <c r="T115" s="61"/>
    </row>
    <row r="116" spans="1:20" s="62" customFormat="1" ht="35.1" customHeight="1">
      <c r="A116" s="63"/>
      <c r="B116" s="84"/>
      <c r="C116" s="65"/>
      <c r="D116" s="65"/>
      <c r="E116" s="65"/>
      <c r="F116" s="65"/>
      <c r="G116" s="65"/>
      <c r="H116" s="65"/>
      <c r="I116" s="44"/>
      <c r="J116" s="44">
        <v>0</v>
      </c>
      <c r="K116" s="44">
        <v>0</v>
      </c>
      <c r="L116" s="17"/>
      <c r="M116" s="60" t="e">
        <f>CONCATENATE(#REF!,G116)</f>
        <v>#REF!</v>
      </c>
      <c r="N116" s="60" t="str">
        <f t="shared" si="5"/>
        <v/>
      </c>
      <c r="O116" s="61" t="str">
        <f t="shared" si="8"/>
        <v>-</v>
      </c>
      <c r="P116" s="61"/>
      <c r="Q116" s="61"/>
      <c r="R116" s="61"/>
      <c r="S116" s="61"/>
      <c r="T116" s="61"/>
    </row>
    <row r="117" spans="1:20" s="62" customFormat="1" ht="35.1" customHeight="1">
      <c r="A117" s="63"/>
      <c r="B117" s="89"/>
      <c r="C117" s="65"/>
      <c r="D117" s="65"/>
      <c r="E117" s="65"/>
      <c r="F117" s="65"/>
      <c r="G117" s="65"/>
      <c r="H117" s="65"/>
      <c r="I117" s="44"/>
      <c r="J117" s="44">
        <v>0</v>
      </c>
      <c r="K117" s="44">
        <v>0</v>
      </c>
      <c r="L117" s="17"/>
      <c r="M117" s="60" t="e">
        <f>CONCATENATE(#REF!,G117)</f>
        <v>#REF!</v>
      </c>
      <c r="N117" s="60" t="str">
        <f t="shared" si="5"/>
        <v/>
      </c>
      <c r="O117" s="61" t="str">
        <f t="shared" si="8"/>
        <v>-</v>
      </c>
      <c r="P117" s="61"/>
      <c r="Q117" s="61"/>
      <c r="R117" s="61"/>
      <c r="S117" s="61"/>
      <c r="T117" s="61"/>
    </row>
    <row r="118" spans="1:20" s="62" customFormat="1" ht="35.1" customHeight="1">
      <c r="A118" s="63"/>
      <c r="B118" s="89"/>
      <c r="C118" s="65"/>
      <c r="D118" s="65"/>
      <c r="E118" s="65"/>
      <c r="F118" s="65"/>
      <c r="G118" s="65"/>
      <c r="H118" s="65"/>
      <c r="I118" s="44"/>
      <c r="J118" s="44">
        <v>0</v>
      </c>
      <c r="K118" s="44">
        <v>0</v>
      </c>
      <c r="L118" s="17"/>
      <c r="M118" s="60" t="e">
        <f>CONCATENATE(#REF!,G118)</f>
        <v>#REF!</v>
      </c>
      <c r="N118" s="60" t="str">
        <f t="shared" si="5"/>
        <v/>
      </c>
      <c r="O118" s="61" t="str">
        <f t="shared" si="8"/>
        <v>-</v>
      </c>
      <c r="P118" s="61"/>
      <c r="Q118" s="61"/>
      <c r="R118" s="61"/>
      <c r="S118" s="61"/>
      <c r="T118" s="61"/>
    </row>
    <row r="119" spans="1:20" s="62" customFormat="1" ht="35.1" customHeight="1">
      <c r="A119" s="63"/>
      <c r="B119" s="89"/>
      <c r="C119" s="65"/>
      <c r="D119" s="65"/>
      <c r="E119" s="65"/>
      <c r="F119" s="65"/>
      <c r="G119" s="65"/>
      <c r="H119" s="65"/>
      <c r="I119" s="44"/>
      <c r="J119" s="44">
        <v>0</v>
      </c>
      <c r="K119" s="44">
        <v>0</v>
      </c>
      <c r="L119" s="17"/>
      <c r="M119" s="60" t="e">
        <f>CONCATENATE(#REF!,G119)</f>
        <v>#REF!</v>
      </c>
      <c r="N119" s="60" t="str">
        <f t="shared" si="5"/>
        <v/>
      </c>
      <c r="O119" s="61" t="str">
        <f t="shared" si="8"/>
        <v>-</v>
      </c>
      <c r="P119" s="61"/>
      <c r="Q119" s="61"/>
      <c r="R119" s="61"/>
      <c r="S119" s="61"/>
      <c r="T119" s="61"/>
    </row>
    <row r="120" spans="1:20" s="62" customFormat="1" ht="35.1" customHeight="1">
      <c r="A120" s="63"/>
      <c r="B120" s="89"/>
      <c r="C120" s="65"/>
      <c r="D120" s="65"/>
      <c r="E120" s="65"/>
      <c r="F120" s="65"/>
      <c r="G120" s="65"/>
      <c r="H120" s="65"/>
      <c r="I120" s="44"/>
      <c r="J120" s="44"/>
      <c r="K120" s="44"/>
      <c r="L120" s="17"/>
      <c r="M120" s="60" t="e">
        <f>CONCATENATE(#REF!,G120)</f>
        <v>#REF!</v>
      </c>
      <c r="N120" s="60" t="str">
        <f t="shared" si="5"/>
        <v/>
      </c>
      <c r="O120" s="61" t="str">
        <f t="shared" si="8"/>
        <v>-</v>
      </c>
      <c r="P120" s="61"/>
      <c r="Q120" s="61"/>
      <c r="R120" s="61"/>
      <c r="S120" s="61"/>
      <c r="T120" s="61"/>
    </row>
    <row r="121" spans="1:20" s="62" customFormat="1" ht="35.1" customHeight="1">
      <c r="A121" s="63"/>
      <c r="B121" s="89"/>
      <c r="C121" s="65"/>
      <c r="D121" s="65"/>
      <c r="E121" s="65"/>
      <c r="F121" s="65"/>
      <c r="G121" s="65"/>
      <c r="H121" s="65"/>
      <c r="I121" s="44"/>
      <c r="J121" s="44">
        <v>0</v>
      </c>
      <c r="K121" s="44">
        <v>0</v>
      </c>
      <c r="L121" s="17"/>
      <c r="M121" s="60" t="e">
        <f>CONCATENATE(#REF!,G121)</f>
        <v>#REF!</v>
      </c>
      <c r="N121" s="60" t="str">
        <f t="shared" si="5"/>
        <v/>
      </c>
      <c r="O121" s="61" t="str">
        <f t="shared" si="8"/>
        <v>-</v>
      </c>
      <c r="P121" s="61"/>
      <c r="Q121" s="61"/>
      <c r="R121" s="61"/>
      <c r="S121" s="61"/>
      <c r="T121" s="61"/>
    </row>
    <row r="122" spans="1:20" s="62" customFormat="1" ht="35.1" customHeight="1">
      <c r="A122" s="63"/>
      <c r="B122" s="89"/>
      <c r="C122" s="65"/>
      <c r="D122" s="65"/>
      <c r="E122" s="65"/>
      <c r="F122" s="65"/>
      <c r="G122" s="65"/>
      <c r="H122" s="65"/>
      <c r="I122" s="44"/>
      <c r="J122" s="44">
        <v>0</v>
      </c>
      <c r="K122" s="44">
        <v>0</v>
      </c>
      <c r="L122" s="17"/>
      <c r="M122" s="60" t="e">
        <f>CONCATENATE(#REF!,G122)</f>
        <v>#REF!</v>
      </c>
      <c r="N122" s="60" t="str">
        <f t="shared" si="5"/>
        <v/>
      </c>
      <c r="O122" s="61" t="str">
        <f t="shared" si="8"/>
        <v>-</v>
      </c>
      <c r="P122" s="61"/>
      <c r="Q122" s="61"/>
      <c r="R122" s="61"/>
      <c r="S122" s="61"/>
      <c r="T122" s="61"/>
    </row>
    <row r="123" spans="1:20" s="62" customFormat="1" ht="35.1" customHeight="1">
      <c r="A123" s="63"/>
      <c r="B123" s="89"/>
      <c r="C123" s="65"/>
      <c r="D123" s="65"/>
      <c r="E123" s="65"/>
      <c r="F123" s="65"/>
      <c r="G123" s="65"/>
      <c r="H123" s="65"/>
      <c r="I123" s="44"/>
      <c r="J123" s="44">
        <v>0</v>
      </c>
      <c r="K123" s="44">
        <v>0</v>
      </c>
      <c r="L123" s="17"/>
      <c r="M123" s="60" t="e">
        <f>CONCATENATE(#REF!,G123)</f>
        <v>#REF!</v>
      </c>
      <c r="N123" s="60" t="str">
        <f t="shared" si="5"/>
        <v/>
      </c>
      <c r="O123" s="61" t="str">
        <f t="shared" si="8"/>
        <v>-</v>
      </c>
      <c r="P123" s="61"/>
      <c r="Q123" s="61"/>
      <c r="R123" s="61"/>
      <c r="S123" s="61"/>
      <c r="T123" s="61"/>
    </row>
    <row r="124" spans="1:20" s="62" customFormat="1" ht="35.1" customHeight="1">
      <c r="A124" s="63"/>
      <c r="B124" s="64"/>
      <c r="C124" s="65"/>
      <c r="D124" s="65"/>
      <c r="E124" s="65"/>
      <c r="F124" s="65"/>
      <c r="G124" s="65"/>
      <c r="H124" s="65"/>
      <c r="I124" s="44"/>
      <c r="J124" s="44"/>
      <c r="K124" s="44"/>
      <c r="L124" s="17"/>
      <c r="M124" s="60" t="e">
        <f>CONCATENATE(#REF!,G124)</f>
        <v>#REF!</v>
      </c>
      <c r="N124" s="60" t="str">
        <f t="shared" si="5"/>
        <v/>
      </c>
      <c r="O124" s="61" t="str">
        <f t="shared" si="8"/>
        <v>-</v>
      </c>
      <c r="P124" s="61"/>
      <c r="Q124" s="61"/>
      <c r="R124" s="61"/>
      <c r="S124" s="61"/>
      <c r="T124" s="61"/>
    </row>
    <row r="125" spans="1:20" s="62" customFormat="1" ht="35.1" customHeight="1">
      <c r="A125" s="63"/>
      <c r="B125" s="64"/>
      <c r="C125" s="65"/>
      <c r="D125" s="65"/>
      <c r="E125" s="65"/>
      <c r="F125" s="65"/>
      <c r="G125" s="65"/>
      <c r="H125" s="65"/>
      <c r="I125" s="44"/>
      <c r="J125" s="44"/>
      <c r="K125" s="44"/>
      <c r="L125" s="17"/>
      <c r="M125" s="60" t="e">
        <f>CONCATENATE(#REF!,G125)</f>
        <v>#REF!</v>
      </c>
      <c r="N125" s="60" t="str">
        <f t="shared" si="5"/>
        <v/>
      </c>
      <c r="O125" s="61" t="str">
        <f t="shared" si="8"/>
        <v>-</v>
      </c>
      <c r="P125" s="61"/>
      <c r="Q125" s="61"/>
      <c r="R125" s="61"/>
      <c r="S125" s="61"/>
      <c r="T125" s="61"/>
    </row>
    <row r="126" spans="1:20" s="62" customFormat="1" ht="35.1" customHeight="1">
      <c r="A126" s="63"/>
      <c r="B126" s="64"/>
      <c r="C126" s="65"/>
      <c r="D126" s="65"/>
      <c r="E126" s="65"/>
      <c r="F126" s="65"/>
      <c r="G126" s="65"/>
      <c r="H126" s="65"/>
      <c r="I126" s="44"/>
      <c r="J126" s="44"/>
      <c r="K126" s="44"/>
      <c r="L126" s="17"/>
      <c r="M126" s="60" t="e">
        <f>CONCATENATE(#REF!,G126)</f>
        <v>#REF!</v>
      </c>
      <c r="N126" s="60" t="str">
        <f t="shared" si="5"/>
        <v/>
      </c>
      <c r="O126" s="61" t="str">
        <f t="shared" si="8"/>
        <v>-</v>
      </c>
      <c r="P126" s="61"/>
      <c r="Q126" s="61"/>
      <c r="R126" s="61"/>
      <c r="S126" s="61"/>
      <c r="T126" s="61"/>
    </row>
    <row r="127" spans="1:20" s="62" customFormat="1" ht="35.1" customHeight="1">
      <c r="A127" s="63"/>
      <c r="B127" s="64"/>
      <c r="C127" s="65"/>
      <c r="D127" s="65"/>
      <c r="E127" s="65"/>
      <c r="F127" s="65"/>
      <c r="G127" s="65"/>
      <c r="H127" s="65"/>
      <c r="I127" s="44"/>
      <c r="J127" s="44"/>
      <c r="K127" s="44"/>
      <c r="L127" s="17"/>
      <c r="M127" s="60" t="e">
        <f>CONCATENATE(#REF!,G127)</f>
        <v>#REF!</v>
      </c>
      <c r="N127" s="60" t="str">
        <f t="shared" si="5"/>
        <v/>
      </c>
      <c r="O127" s="61" t="str">
        <f t="shared" si="8"/>
        <v>-</v>
      </c>
      <c r="P127" s="61"/>
      <c r="Q127" s="61"/>
      <c r="R127" s="61"/>
      <c r="S127" s="61"/>
      <c r="T127" s="61"/>
    </row>
    <row r="128" spans="1:20" s="62" customFormat="1" ht="35.1" customHeight="1">
      <c r="A128" s="63"/>
      <c r="B128" s="64"/>
      <c r="C128" s="65"/>
      <c r="D128" s="65"/>
      <c r="E128" s="65"/>
      <c r="F128" s="65"/>
      <c r="G128" s="65"/>
      <c r="H128" s="65"/>
      <c r="I128" s="44"/>
      <c r="J128" s="44"/>
      <c r="K128" s="44"/>
      <c r="L128" s="17"/>
      <c r="M128" s="60" t="e">
        <f>CONCATENATE(#REF!,G128)</f>
        <v>#REF!</v>
      </c>
      <c r="N128" s="60" t="str">
        <f t="shared" si="5"/>
        <v/>
      </c>
      <c r="O128" s="61" t="str">
        <f t="shared" si="8"/>
        <v>-</v>
      </c>
      <c r="P128" s="61"/>
      <c r="Q128" s="61"/>
      <c r="R128" s="61"/>
      <c r="S128" s="61"/>
      <c r="T128" s="61"/>
    </row>
    <row r="129" spans="1:76" s="62" customFormat="1" ht="35.1" customHeight="1">
      <c r="A129" s="63"/>
      <c r="B129" s="64"/>
      <c r="C129" s="65"/>
      <c r="D129" s="65"/>
      <c r="E129" s="65"/>
      <c r="F129" s="65"/>
      <c r="G129" s="65"/>
      <c r="H129" s="65"/>
      <c r="I129" s="44"/>
      <c r="J129" s="44"/>
      <c r="K129" s="44"/>
      <c r="L129" s="17"/>
      <c r="M129" s="60" t="e">
        <f>CONCATENATE(#REF!,G129)</f>
        <v>#REF!</v>
      </c>
      <c r="N129" s="60" t="str">
        <f t="shared" si="5"/>
        <v/>
      </c>
      <c r="O129" s="61" t="str">
        <f t="shared" si="8"/>
        <v>-</v>
      </c>
      <c r="P129" s="61"/>
      <c r="Q129" s="61"/>
      <c r="R129" s="61"/>
      <c r="S129" s="61"/>
      <c r="T129" s="61"/>
    </row>
    <row r="130" spans="1:76" s="62" customFormat="1" ht="35.1" customHeight="1">
      <c r="A130" s="63"/>
      <c r="B130" s="64"/>
      <c r="C130" s="65"/>
      <c r="D130" s="65"/>
      <c r="E130" s="65"/>
      <c r="F130" s="65"/>
      <c r="G130" s="65"/>
      <c r="H130" s="65"/>
      <c r="I130" s="44"/>
      <c r="J130" s="44"/>
      <c r="K130" s="44"/>
      <c r="L130" s="17"/>
      <c r="M130" s="60" t="e">
        <f>CONCATENATE(#REF!,G130)</f>
        <v>#REF!</v>
      </c>
      <c r="N130" s="60" t="str">
        <f t="shared" si="5"/>
        <v/>
      </c>
      <c r="O130" s="61" t="str">
        <f t="shared" si="8"/>
        <v>-</v>
      </c>
      <c r="P130" s="61"/>
      <c r="Q130" s="61"/>
      <c r="R130" s="61"/>
      <c r="S130" s="61"/>
      <c r="T130" s="61"/>
    </row>
    <row r="131" spans="1:76" s="62" customFormat="1" ht="35.1" customHeight="1">
      <c r="A131" s="63"/>
      <c r="B131" s="64"/>
      <c r="C131" s="65"/>
      <c r="D131" s="65"/>
      <c r="E131" s="65"/>
      <c r="F131" s="65"/>
      <c r="G131" s="65"/>
      <c r="H131" s="65"/>
      <c r="I131" s="44"/>
      <c r="J131" s="44"/>
      <c r="K131" s="44"/>
      <c r="L131" s="17"/>
      <c r="M131" s="60" t="e">
        <f>CONCATENATE(#REF!,G131)</f>
        <v>#REF!</v>
      </c>
      <c r="N131" s="60" t="str">
        <f t="shared" si="5"/>
        <v/>
      </c>
      <c r="O131" s="61" t="str">
        <f t="shared" si="8"/>
        <v>-</v>
      </c>
      <c r="P131" s="61"/>
      <c r="Q131" s="61"/>
      <c r="R131" s="61"/>
      <c r="S131" s="61"/>
      <c r="T131" s="61"/>
    </row>
    <row r="132" spans="1:76" s="62" customFormat="1" ht="35.1" customHeight="1">
      <c r="A132" s="63"/>
      <c r="B132" s="64"/>
      <c r="C132" s="65"/>
      <c r="D132" s="65"/>
      <c r="E132" s="65"/>
      <c r="F132" s="65"/>
      <c r="G132" s="65"/>
      <c r="H132" s="65"/>
      <c r="I132" s="44"/>
      <c r="J132" s="44"/>
      <c r="K132" s="44"/>
      <c r="L132" s="17"/>
      <c r="M132" s="60" t="e">
        <f>CONCATENATE(#REF!,G132)</f>
        <v>#REF!</v>
      </c>
      <c r="N132" s="60" t="str">
        <f t="shared" si="5"/>
        <v/>
      </c>
      <c r="O132" s="61" t="str">
        <f t="shared" si="8"/>
        <v>-</v>
      </c>
      <c r="P132" s="61"/>
      <c r="Q132" s="61"/>
      <c r="R132" s="61"/>
      <c r="S132" s="61"/>
      <c r="T132" s="61"/>
    </row>
    <row r="133" spans="1:76" s="73" customFormat="1" ht="35.1" customHeight="1">
      <c r="A133" s="66" t="s">
        <v>41</v>
      </c>
      <c r="B133" s="67"/>
      <c r="C133" s="68"/>
      <c r="D133" s="69"/>
      <c r="E133" s="69"/>
      <c r="F133" s="69">
        <f>SUM(F113:F132)</f>
        <v>0</v>
      </c>
      <c r="G133" s="70"/>
      <c r="H133" s="70"/>
      <c r="I133" s="70"/>
      <c r="J133" s="70"/>
      <c r="K133" s="70"/>
      <c r="L133" s="71"/>
      <c r="M133" s="60" t="e">
        <f>CONCATENATE(#REF!,G133)</f>
        <v>#REF!</v>
      </c>
      <c r="N133" s="60" t="str">
        <f t="shared" si="5"/>
        <v/>
      </c>
      <c r="O133" s="61"/>
      <c r="P133" s="61"/>
      <c r="Q133" s="61"/>
      <c r="R133" s="61"/>
      <c r="S133" s="61"/>
      <c r="T133" s="61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</row>
    <row r="134" spans="1:76" s="62" customFormat="1" ht="35.1" customHeight="1">
      <c r="A134" s="58"/>
      <c r="B134" s="82"/>
      <c r="C134" s="59"/>
      <c r="D134" s="59"/>
      <c r="E134" s="59"/>
      <c r="F134" s="59"/>
      <c r="G134" s="59"/>
      <c r="H134" s="59"/>
      <c r="I134" s="43"/>
      <c r="J134" s="43"/>
      <c r="K134" s="43"/>
      <c r="L134" s="16"/>
      <c r="M134" s="60" t="e">
        <f>CONCATENATE(#REF!,G134)</f>
        <v>#REF!</v>
      </c>
      <c r="N134" s="60" t="str">
        <f t="shared" si="5"/>
        <v/>
      </c>
      <c r="O134" s="61" t="str">
        <f t="shared" ref="O134:O153" si="9">IF(D134&gt;=F134,"-","err")</f>
        <v>-</v>
      </c>
      <c r="P134" s="61"/>
      <c r="Q134" s="61"/>
      <c r="R134" s="61"/>
      <c r="S134" s="61"/>
      <c r="T134" s="61"/>
    </row>
    <row r="135" spans="1:76" s="62" customFormat="1" ht="35.1" customHeight="1">
      <c r="A135" s="92"/>
      <c r="B135" s="96"/>
      <c r="C135" s="93"/>
      <c r="D135" s="93"/>
      <c r="E135" s="93"/>
      <c r="F135" s="93"/>
      <c r="G135" s="93"/>
      <c r="H135" s="93"/>
      <c r="I135" s="94"/>
      <c r="J135" s="94"/>
      <c r="K135" s="94"/>
      <c r="L135" s="95"/>
      <c r="M135" s="60" t="e">
        <f>CONCATENATE(#REF!,G135)</f>
        <v>#REF!</v>
      </c>
      <c r="N135" s="60" t="str">
        <f t="shared" ref="N135:N198" si="10">CONCATENATE(C135,G135)</f>
        <v/>
      </c>
      <c r="O135" s="61" t="str">
        <f t="shared" si="9"/>
        <v>-</v>
      </c>
      <c r="P135" s="61"/>
      <c r="Q135" s="61"/>
      <c r="R135" s="61"/>
      <c r="S135" s="61"/>
      <c r="T135" s="61"/>
    </row>
    <row r="136" spans="1:76" s="62" customFormat="1" ht="35.1" customHeight="1">
      <c r="A136" s="63"/>
      <c r="B136" s="83"/>
      <c r="C136" s="65"/>
      <c r="D136" s="65"/>
      <c r="E136" s="65"/>
      <c r="F136" s="65"/>
      <c r="G136" s="65"/>
      <c r="H136" s="65"/>
      <c r="I136" s="44">
        <v>0</v>
      </c>
      <c r="J136" s="44">
        <v>0</v>
      </c>
      <c r="K136" s="44">
        <v>0</v>
      </c>
      <c r="L136" s="17"/>
      <c r="M136" s="60" t="e">
        <f>CONCATENATE(#REF!,G136)</f>
        <v>#REF!</v>
      </c>
      <c r="N136" s="60" t="str">
        <f t="shared" si="10"/>
        <v/>
      </c>
      <c r="O136" s="61" t="str">
        <f t="shared" si="9"/>
        <v>-</v>
      </c>
      <c r="P136" s="61"/>
      <c r="Q136" s="61"/>
      <c r="R136" s="61"/>
      <c r="S136" s="61"/>
      <c r="T136" s="61"/>
    </row>
    <row r="137" spans="1:76" s="62" customFormat="1" ht="35.1" customHeight="1">
      <c r="A137" s="63"/>
      <c r="B137" s="84"/>
      <c r="C137" s="65"/>
      <c r="D137" s="65"/>
      <c r="E137" s="65"/>
      <c r="F137" s="65"/>
      <c r="G137" s="65"/>
      <c r="H137" s="65"/>
      <c r="I137" s="44">
        <v>0</v>
      </c>
      <c r="J137" s="44">
        <v>0</v>
      </c>
      <c r="K137" s="44">
        <v>0</v>
      </c>
      <c r="L137" s="17"/>
      <c r="M137" s="60" t="e">
        <f>CONCATENATE(#REF!,G137)</f>
        <v>#REF!</v>
      </c>
      <c r="N137" s="60" t="str">
        <f t="shared" si="10"/>
        <v/>
      </c>
      <c r="O137" s="61" t="str">
        <f t="shared" si="9"/>
        <v>-</v>
      </c>
      <c r="P137" s="61"/>
      <c r="Q137" s="61"/>
      <c r="R137" s="61"/>
      <c r="S137" s="61"/>
      <c r="T137" s="61"/>
    </row>
    <row r="138" spans="1:76" s="62" customFormat="1" ht="35.1" customHeight="1">
      <c r="A138" s="63"/>
      <c r="B138" s="89"/>
      <c r="C138" s="65"/>
      <c r="D138" s="65"/>
      <c r="E138" s="65"/>
      <c r="F138" s="65"/>
      <c r="G138" s="65"/>
      <c r="H138" s="65"/>
      <c r="I138" s="44">
        <v>0</v>
      </c>
      <c r="J138" s="44">
        <v>0</v>
      </c>
      <c r="K138" s="44">
        <v>0</v>
      </c>
      <c r="L138" s="17"/>
      <c r="M138" s="60" t="e">
        <f>CONCATENATE(#REF!,G138)</f>
        <v>#REF!</v>
      </c>
      <c r="N138" s="60" t="str">
        <f t="shared" si="10"/>
        <v/>
      </c>
      <c r="O138" s="61" t="str">
        <f t="shared" si="9"/>
        <v>-</v>
      </c>
      <c r="P138" s="61"/>
      <c r="Q138" s="61"/>
      <c r="R138" s="61"/>
      <c r="S138" s="61"/>
      <c r="T138" s="61"/>
    </row>
    <row r="139" spans="1:76" s="62" customFormat="1" ht="35.1" customHeight="1">
      <c r="A139" s="63"/>
      <c r="B139" s="89"/>
      <c r="C139" s="65"/>
      <c r="D139" s="65"/>
      <c r="E139" s="65"/>
      <c r="F139" s="65"/>
      <c r="G139" s="65"/>
      <c r="H139" s="65"/>
      <c r="I139" s="44">
        <v>0</v>
      </c>
      <c r="J139" s="44">
        <v>0</v>
      </c>
      <c r="K139" s="44">
        <v>0</v>
      </c>
      <c r="L139" s="17"/>
      <c r="M139" s="60" t="e">
        <f>CONCATENATE(#REF!,G139)</f>
        <v>#REF!</v>
      </c>
      <c r="N139" s="60" t="str">
        <f t="shared" si="10"/>
        <v/>
      </c>
      <c r="O139" s="61" t="str">
        <f t="shared" si="9"/>
        <v>-</v>
      </c>
      <c r="P139" s="61"/>
      <c r="Q139" s="61"/>
      <c r="R139" s="61"/>
      <c r="S139" s="61"/>
      <c r="T139" s="61"/>
    </row>
    <row r="140" spans="1:76" s="62" customFormat="1" ht="35.1" customHeight="1">
      <c r="A140" s="63"/>
      <c r="B140" s="89"/>
      <c r="C140" s="65"/>
      <c r="D140" s="65"/>
      <c r="E140" s="65"/>
      <c r="F140" s="65"/>
      <c r="G140" s="65"/>
      <c r="H140" s="65"/>
      <c r="I140" s="44"/>
      <c r="J140" s="44"/>
      <c r="K140" s="44"/>
      <c r="L140" s="17"/>
      <c r="M140" s="60" t="e">
        <f>CONCATENATE(#REF!,G140)</f>
        <v>#REF!</v>
      </c>
      <c r="N140" s="60" t="str">
        <f t="shared" si="10"/>
        <v/>
      </c>
      <c r="O140" s="61" t="str">
        <f t="shared" si="9"/>
        <v>-</v>
      </c>
      <c r="P140" s="61"/>
      <c r="Q140" s="61"/>
      <c r="R140" s="61"/>
      <c r="S140" s="61"/>
      <c r="T140" s="61"/>
    </row>
    <row r="141" spans="1:76" s="62" customFormat="1" ht="35.1" customHeight="1">
      <c r="A141" s="63"/>
      <c r="B141" s="89"/>
      <c r="C141" s="65"/>
      <c r="D141" s="65"/>
      <c r="E141" s="65"/>
      <c r="F141" s="65"/>
      <c r="G141" s="65"/>
      <c r="H141" s="65"/>
      <c r="I141" s="44"/>
      <c r="J141" s="44"/>
      <c r="K141" s="44"/>
      <c r="L141" s="17"/>
      <c r="M141" s="60" t="e">
        <f>CONCATENATE(#REF!,G141)</f>
        <v>#REF!</v>
      </c>
      <c r="N141" s="60" t="str">
        <f t="shared" si="10"/>
        <v/>
      </c>
      <c r="O141" s="61" t="str">
        <f t="shared" si="9"/>
        <v>-</v>
      </c>
      <c r="P141" s="61"/>
      <c r="Q141" s="61"/>
      <c r="R141" s="61"/>
      <c r="S141" s="61"/>
      <c r="T141" s="61"/>
    </row>
    <row r="142" spans="1:76" s="62" customFormat="1" ht="35.1" customHeight="1">
      <c r="A142" s="63"/>
      <c r="B142" s="89"/>
      <c r="C142" s="65"/>
      <c r="D142" s="65"/>
      <c r="E142" s="65"/>
      <c r="F142" s="65"/>
      <c r="G142" s="65"/>
      <c r="H142" s="65"/>
      <c r="I142" s="44"/>
      <c r="J142" s="44"/>
      <c r="K142" s="44"/>
      <c r="L142" s="17"/>
      <c r="M142" s="60" t="e">
        <f>CONCATENATE(#REF!,G142)</f>
        <v>#REF!</v>
      </c>
      <c r="N142" s="60" t="str">
        <f t="shared" si="10"/>
        <v/>
      </c>
      <c r="O142" s="61" t="str">
        <f t="shared" si="9"/>
        <v>-</v>
      </c>
      <c r="P142" s="61"/>
      <c r="Q142" s="61"/>
      <c r="R142" s="61"/>
      <c r="S142" s="61"/>
      <c r="T142" s="61"/>
    </row>
    <row r="143" spans="1:76" s="62" customFormat="1" ht="35.1" customHeight="1">
      <c r="A143" s="63"/>
      <c r="B143" s="89"/>
      <c r="C143" s="65"/>
      <c r="D143" s="65"/>
      <c r="E143" s="65"/>
      <c r="F143" s="65"/>
      <c r="G143" s="65"/>
      <c r="H143" s="65"/>
      <c r="I143" s="44">
        <v>0</v>
      </c>
      <c r="J143" s="44">
        <v>0</v>
      </c>
      <c r="K143" s="44">
        <v>0</v>
      </c>
      <c r="L143" s="17"/>
      <c r="M143" s="60" t="e">
        <f>CONCATENATE(#REF!,G143)</f>
        <v>#REF!</v>
      </c>
      <c r="N143" s="60" t="str">
        <f t="shared" si="10"/>
        <v/>
      </c>
      <c r="O143" s="61" t="str">
        <f t="shared" si="9"/>
        <v>-</v>
      </c>
      <c r="P143" s="61"/>
      <c r="Q143" s="61"/>
      <c r="R143" s="61"/>
      <c r="S143" s="61"/>
      <c r="T143" s="61"/>
    </row>
    <row r="144" spans="1:76" s="62" customFormat="1" ht="35.1" customHeight="1">
      <c r="A144" s="63"/>
      <c r="B144" s="89"/>
      <c r="C144" s="65"/>
      <c r="D144" s="65"/>
      <c r="E144" s="65"/>
      <c r="F144" s="65"/>
      <c r="G144" s="65"/>
      <c r="H144" s="65"/>
      <c r="I144" s="44">
        <v>0</v>
      </c>
      <c r="J144" s="44">
        <v>0</v>
      </c>
      <c r="K144" s="44">
        <v>0</v>
      </c>
      <c r="L144" s="17"/>
      <c r="M144" s="60" t="e">
        <f>CONCATENATE(#REF!,G144)</f>
        <v>#REF!</v>
      </c>
      <c r="N144" s="60" t="str">
        <f t="shared" si="10"/>
        <v/>
      </c>
      <c r="O144" s="61" t="str">
        <f t="shared" si="9"/>
        <v>-</v>
      </c>
      <c r="P144" s="61"/>
      <c r="Q144" s="61"/>
      <c r="R144" s="61"/>
      <c r="S144" s="61"/>
      <c r="T144" s="61"/>
    </row>
    <row r="145" spans="1:76" s="62" customFormat="1" ht="35.1" customHeight="1">
      <c r="A145" s="63"/>
      <c r="B145" s="64"/>
      <c r="C145" s="65"/>
      <c r="D145" s="65"/>
      <c r="E145" s="65"/>
      <c r="F145" s="65"/>
      <c r="G145" s="65"/>
      <c r="H145" s="65"/>
      <c r="I145" s="44"/>
      <c r="J145" s="44"/>
      <c r="K145" s="44"/>
      <c r="L145" s="17"/>
      <c r="M145" s="60" t="e">
        <f>CONCATENATE(#REF!,G145)</f>
        <v>#REF!</v>
      </c>
      <c r="N145" s="60" t="str">
        <f t="shared" si="10"/>
        <v/>
      </c>
      <c r="O145" s="61" t="str">
        <f t="shared" si="9"/>
        <v>-</v>
      </c>
      <c r="P145" s="61"/>
      <c r="Q145" s="61"/>
      <c r="R145" s="61"/>
      <c r="S145" s="61"/>
      <c r="T145" s="61"/>
    </row>
    <row r="146" spans="1:76" s="62" customFormat="1" ht="35.1" customHeight="1">
      <c r="A146" s="63"/>
      <c r="B146" s="64"/>
      <c r="C146" s="65"/>
      <c r="D146" s="65"/>
      <c r="E146" s="65"/>
      <c r="F146" s="65"/>
      <c r="G146" s="65"/>
      <c r="H146" s="65"/>
      <c r="I146" s="44"/>
      <c r="J146" s="44"/>
      <c r="K146" s="44"/>
      <c r="L146" s="17"/>
      <c r="M146" s="60" t="e">
        <f>CONCATENATE(#REF!,G146)</f>
        <v>#REF!</v>
      </c>
      <c r="N146" s="60" t="str">
        <f t="shared" si="10"/>
        <v/>
      </c>
      <c r="O146" s="61" t="str">
        <f t="shared" si="9"/>
        <v>-</v>
      </c>
      <c r="P146" s="61"/>
      <c r="Q146" s="61"/>
      <c r="R146" s="61"/>
      <c r="S146" s="61"/>
      <c r="T146" s="61"/>
    </row>
    <row r="147" spans="1:76" s="62" customFormat="1" ht="35.1" customHeight="1">
      <c r="A147" s="63"/>
      <c r="B147" s="64"/>
      <c r="C147" s="65"/>
      <c r="D147" s="65"/>
      <c r="E147" s="65"/>
      <c r="F147" s="65"/>
      <c r="G147" s="65"/>
      <c r="H147" s="65"/>
      <c r="I147" s="44"/>
      <c r="J147" s="44"/>
      <c r="K147" s="44"/>
      <c r="L147" s="17"/>
      <c r="M147" s="60" t="e">
        <f>CONCATENATE(#REF!,G147)</f>
        <v>#REF!</v>
      </c>
      <c r="N147" s="60" t="str">
        <f t="shared" si="10"/>
        <v/>
      </c>
      <c r="O147" s="61" t="str">
        <f t="shared" si="9"/>
        <v>-</v>
      </c>
      <c r="P147" s="61"/>
      <c r="Q147" s="61"/>
      <c r="R147" s="61"/>
      <c r="S147" s="61"/>
      <c r="T147" s="61"/>
    </row>
    <row r="148" spans="1:76" s="62" customFormat="1" ht="35.1" customHeight="1">
      <c r="A148" s="63"/>
      <c r="B148" s="64"/>
      <c r="C148" s="65"/>
      <c r="D148" s="65"/>
      <c r="E148" s="65"/>
      <c r="F148" s="65"/>
      <c r="G148" s="65"/>
      <c r="H148" s="65"/>
      <c r="I148" s="44"/>
      <c r="J148" s="44"/>
      <c r="K148" s="44"/>
      <c r="L148" s="17"/>
      <c r="M148" s="60" t="e">
        <f>CONCATENATE(#REF!,G148)</f>
        <v>#REF!</v>
      </c>
      <c r="N148" s="60" t="str">
        <f t="shared" si="10"/>
        <v/>
      </c>
      <c r="O148" s="61" t="str">
        <f t="shared" si="9"/>
        <v>-</v>
      </c>
      <c r="P148" s="61"/>
      <c r="Q148" s="61"/>
      <c r="R148" s="61"/>
      <c r="S148" s="61"/>
      <c r="T148" s="61"/>
    </row>
    <row r="149" spans="1:76" s="62" customFormat="1" ht="35.1" customHeight="1">
      <c r="A149" s="63"/>
      <c r="B149" s="64"/>
      <c r="C149" s="65"/>
      <c r="D149" s="65"/>
      <c r="E149" s="65"/>
      <c r="F149" s="65"/>
      <c r="G149" s="65"/>
      <c r="H149" s="65"/>
      <c r="I149" s="44"/>
      <c r="J149" s="44"/>
      <c r="K149" s="44"/>
      <c r="L149" s="17"/>
      <c r="M149" s="60" t="e">
        <f>CONCATENATE(#REF!,G149)</f>
        <v>#REF!</v>
      </c>
      <c r="N149" s="60" t="str">
        <f t="shared" si="10"/>
        <v/>
      </c>
      <c r="O149" s="61" t="str">
        <f t="shared" si="9"/>
        <v>-</v>
      </c>
      <c r="P149" s="61"/>
      <c r="Q149" s="61"/>
      <c r="R149" s="61"/>
      <c r="S149" s="61"/>
      <c r="T149" s="61"/>
    </row>
    <row r="150" spans="1:76" s="62" customFormat="1" ht="35.1" customHeight="1">
      <c r="A150" s="63"/>
      <c r="B150" s="64"/>
      <c r="C150" s="65"/>
      <c r="D150" s="65"/>
      <c r="E150" s="65"/>
      <c r="F150" s="65"/>
      <c r="G150" s="65"/>
      <c r="H150" s="65"/>
      <c r="I150" s="44"/>
      <c r="J150" s="44"/>
      <c r="K150" s="44"/>
      <c r="L150" s="17"/>
      <c r="M150" s="60" t="e">
        <f>CONCATENATE(#REF!,G150)</f>
        <v>#REF!</v>
      </c>
      <c r="N150" s="60" t="str">
        <f t="shared" si="10"/>
        <v/>
      </c>
      <c r="O150" s="61" t="str">
        <f t="shared" si="9"/>
        <v>-</v>
      </c>
      <c r="P150" s="61"/>
      <c r="Q150" s="61"/>
      <c r="R150" s="61"/>
      <c r="S150" s="61"/>
      <c r="T150" s="61"/>
    </row>
    <row r="151" spans="1:76" s="62" customFormat="1" ht="35.1" customHeight="1">
      <c r="A151" s="63"/>
      <c r="B151" s="64"/>
      <c r="C151" s="65"/>
      <c r="D151" s="65"/>
      <c r="E151" s="65"/>
      <c r="F151" s="65"/>
      <c r="G151" s="65"/>
      <c r="H151" s="65"/>
      <c r="I151" s="44"/>
      <c r="J151" s="44"/>
      <c r="K151" s="44"/>
      <c r="L151" s="17"/>
      <c r="M151" s="60" t="e">
        <f>CONCATENATE(#REF!,G151)</f>
        <v>#REF!</v>
      </c>
      <c r="N151" s="60" t="str">
        <f t="shared" si="10"/>
        <v/>
      </c>
      <c r="O151" s="61" t="str">
        <f t="shared" si="9"/>
        <v>-</v>
      </c>
      <c r="P151" s="61"/>
      <c r="Q151" s="61"/>
      <c r="R151" s="61"/>
      <c r="S151" s="61"/>
      <c r="T151" s="61"/>
    </row>
    <row r="152" spans="1:76" s="62" customFormat="1" ht="35.1" customHeight="1">
      <c r="A152" s="63"/>
      <c r="B152" s="64"/>
      <c r="C152" s="65"/>
      <c r="D152" s="65"/>
      <c r="E152" s="65"/>
      <c r="F152" s="65"/>
      <c r="G152" s="65"/>
      <c r="H152" s="65"/>
      <c r="I152" s="44"/>
      <c r="J152" s="44"/>
      <c r="K152" s="44"/>
      <c r="L152" s="17"/>
      <c r="M152" s="60" t="e">
        <f>CONCATENATE(#REF!,G152)</f>
        <v>#REF!</v>
      </c>
      <c r="N152" s="60" t="str">
        <f t="shared" si="10"/>
        <v/>
      </c>
      <c r="O152" s="61" t="str">
        <f t="shared" si="9"/>
        <v>-</v>
      </c>
      <c r="P152" s="61"/>
      <c r="Q152" s="61"/>
      <c r="R152" s="61"/>
      <c r="S152" s="61"/>
      <c r="T152" s="61"/>
    </row>
    <row r="153" spans="1:76" s="62" customFormat="1" ht="35.1" customHeight="1">
      <c r="A153" s="63"/>
      <c r="B153" s="64"/>
      <c r="C153" s="65"/>
      <c r="D153" s="65"/>
      <c r="E153" s="65"/>
      <c r="F153" s="65"/>
      <c r="G153" s="65"/>
      <c r="H153" s="65"/>
      <c r="I153" s="44"/>
      <c r="J153" s="44"/>
      <c r="K153" s="44"/>
      <c r="L153" s="17"/>
      <c r="M153" s="60" t="e">
        <f>CONCATENATE(#REF!,G153)</f>
        <v>#REF!</v>
      </c>
      <c r="N153" s="60" t="str">
        <f t="shared" si="10"/>
        <v/>
      </c>
      <c r="O153" s="61" t="str">
        <f t="shared" si="9"/>
        <v>-</v>
      </c>
      <c r="P153" s="61"/>
      <c r="Q153" s="61"/>
      <c r="R153" s="61"/>
      <c r="S153" s="61"/>
      <c r="T153" s="61"/>
    </row>
    <row r="154" spans="1:76" s="73" customFormat="1" ht="35.1" customHeight="1">
      <c r="A154" s="66" t="s">
        <v>41</v>
      </c>
      <c r="B154" s="67"/>
      <c r="C154" s="68"/>
      <c r="D154" s="69"/>
      <c r="E154" s="69"/>
      <c r="F154" s="69">
        <f>SUM(F134:F153)</f>
        <v>0</v>
      </c>
      <c r="G154" s="70"/>
      <c r="H154" s="70"/>
      <c r="I154" s="70"/>
      <c r="J154" s="70"/>
      <c r="K154" s="70"/>
      <c r="L154" s="71"/>
      <c r="M154" s="60" t="e">
        <f>CONCATENATE(#REF!,G154)</f>
        <v>#REF!</v>
      </c>
      <c r="N154" s="60" t="str">
        <f t="shared" si="10"/>
        <v/>
      </c>
      <c r="O154" s="61"/>
      <c r="P154" s="61"/>
      <c r="Q154" s="61"/>
      <c r="R154" s="61"/>
      <c r="S154" s="61"/>
      <c r="T154" s="61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</row>
    <row r="155" spans="1:76" s="62" customFormat="1" ht="35.1" customHeight="1">
      <c r="A155" s="58"/>
      <c r="B155" s="82"/>
      <c r="C155" s="59"/>
      <c r="D155" s="59"/>
      <c r="E155" s="59"/>
      <c r="F155" s="59"/>
      <c r="G155" s="59"/>
      <c r="H155" s="59"/>
      <c r="I155" s="43"/>
      <c r="J155" s="43"/>
      <c r="K155" s="43"/>
      <c r="L155" s="16"/>
      <c r="M155" s="60" t="e">
        <f>CONCATENATE(#REF!,G155)</f>
        <v>#REF!</v>
      </c>
      <c r="N155" s="60" t="str">
        <f t="shared" si="10"/>
        <v/>
      </c>
      <c r="O155" s="61" t="str">
        <f t="shared" ref="O155:O174" si="11">IF(D155&gt;=F155,"-","err")</f>
        <v>-</v>
      </c>
      <c r="P155" s="61"/>
      <c r="Q155" s="61"/>
      <c r="R155" s="61"/>
      <c r="S155" s="61"/>
      <c r="T155" s="61"/>
    </row>
    <row r="156" spans="1:76" s="62" customFormat="1" ht="35.1" customHeight="1">
      <c r="A156" s="92"/>
      <c r="B156" s="96"/>
      <c r="C156" s="93"/>
      <c r="D156" s="93"/>
      <c r="E156" s="93"/>
      <c r="F156" s="93"/>
      <c r="G156" s="93"/>
      <c r="H156" s="93"/>
      <c r="I156" s="94"/>
      <c r="J156" s="94"/>
      <c r="K156" s="94"/>
      <c r="L156" s="95"/>
      <c r="M156" s="60" t="e">
        <f>CONCATENATE(#REF!,G156)</f>
        <v>#REF!</v>
      </c>
      <c r="N156" s="60" t="str">
        <f t="shared" si="10"/>
        <v/>
      </c>
      <c r="O156" s="61" t="str">
        <f t="shared" si="11"/>
        <v>-</v>
      </c>
      <c r="P156" s="61"/>
      <c r="Q156" s="61"/>
      <c r="R156" s="61"/>
      <c r="S156" s="61"/>
      <c r="T156" s="61"/>
    </row>
    <row r="157" spans="1:76" s="62" customFormat="1" ht="35.1" customHeight="1">
      <c r="A157" s="63"/>
      <c r="B157" s="83"/>
      <c r="C157" s="65"/>
      <c r="D157" s="65"/>
      <c r="E157" s="65"/>
      <c r="F157" s="65"/>
      <c r="G157" s="65"/>
      <c r="H157" s="65"/>
      <c r="I157" s="44"/>
      <c r="J157" s="44">
        <v>0</v>
      </c>
      <c r="K157" s="44">
        <v>0</v>
      </c>
      <c r="L157" s="17"/>
      <c r="M157" s="60" t="e">
        <f>CONCATENATE(#REF!,G157)</f>
        <v>#REF!</v>
      </c>
      <c r="N157" s="60" t="str">
        <f t="shared" si="10"/>
        <v/>
      </c>
      <c r="O157" s="61" t="str">
        <f t="shared" si="11"/>
        <v>-</v>
      </c>
      <c r="P157" s="61"/>
      <c r="Q157" s="61"/>
      <c r="R157" s="61"/>
      <c r="S157" s="61"/>
      <c r="T157" s="61"/>
    </row>
    <row r="158" spans="1:76" s="62" customFormat="1" ht="35.1" customHeight="1">
      <c r="A158" s="63"/>
      <c r="B158" s="84"/>
      <c r="C158" s="65"/>
      <c r="D158" s="65"/>
      <c r="E158" s="65"/>
      <c r="F158" s="65"/>
      <c r="G158" s="65"/>
      <c r="H158" s="65"/>
      <c r="I158" s="44"/>
      <c r="J158" s="44">
        <v>0</v>
      </c>
      <c r="K158" s="44">
        <v>0</v>
      </c>
      <c r="L158" s="17"/>
      <c r="M158" s="60" t="e">
        <f>CONCATENATE(#REF!,G158)</f>
        <v>#REF!</v>
      </c>
      <c r="N158" s="60" t="str">
        <f t="shared" si="10"/>
        <v/>
      </c>
      <c r="O158" s="61" t="str">
        <f t="shared" si="11"/>
        <v>-</v>
      </c>
      <c r="P158" s="61"/>
      <c r="Q158" s="61"/>
      <c r="R158" s="61"/>
      <c r="S158" s="61"/>
      <c r="T158" s="61"/>
    </row>
    <row r="159" spans="1:76" s="62" customFormat="1" ht="35.1" customHeight="1">
      <c r="A159" s="63"/>
      <c r="B159" s="89"/>
      <c r="C159" s="65"/>
      <c r="D159" s="65"/>
      <c r="E159" s="65"/>
      <c r="F159" s="65"/>
      <c r="G159" s="65"/>
      <c r="H159" s="65"/>
      <c r="I159" s="44"/>
      <c r="J159" s="44">
        <v>0</v>
      </c>
      <c r="K159" s="44">
        <v>0</v>
      </c>
      <c r="L159" s="17"/>
      <c r="M159" s="60" t="e">
        <f>CONCATENATE(#REF!,G159)</f>
        <v>#REF!</v>
      </c>
      <c r="N159" s="60" t="str">
        <f t="shared" si="10"/>
        <v/>
      </c>
      <c r="O159" s="61" t="str">
        <f t="shared" si="11"/>
        <v>-</v>
      </c>
      <c r="P159" s="61"/>
      <c r="Q159" s="61"/>
      <c r="R159" s="61"/>
      <c r="S159" s="61"/>
      <c r="T159" s="61"/>
    </row>
    <row r="160" spans="1:76" s="62" customFormat="1" ht="35.1" customHeight="1">
      <c r="A160" s="63"/>
      <c r="B160" s="89"/>
      <c r="C160" s="65"/>
      <c r="D160" s="65"/>
      <c r="E160" s="65"/>
      <c r="F160" s="65"/>
      <c r="G160" s="65"/>
      <c r="H160" s="65"/>
      <c r="I160" s="44"/>
      <c r="J160" s="44">
        <v>0</v>
      </c>
      <c r="K160" s="44">
        <v>0</v>
      </c>
      <c r="L160" s="17"/>
      <c r="M160" s="60" t="e">
        <f>CONCATENATE(#REF!,G160)</f>
        <v>#REF!</v>
      </c>
      <c r="N160" s="60" t="str">
        <f t="shared" si="10"/>
        <v/>
      </c>
      <c r="O160" s="61" t="str">
        <f t="shared" si="11"/>
        <v>-</v>
      </c>
      <c r="P160" s="61"/>
      <c r="Q160" s="61"/>
      <c r="R160" s="61"/>
      <c r="S160" s="61"/>
      <c r="T160" s="61"/>
    </row>
    <row r="161" spans="1:76" s="62" customFormat="1" ht="35.1" customHeight="1">
      <c r="A161" s="63"/>
      <c r="B161" s="89"/>
      <c r="C161" s="65"/>
      <c r="D161" s="65"/>
      <c r="E161" s="65"/>
      <c r="F161" s="65"/>
      <c r="G161" s="65"/>
      <c r="H161" s="65"/>
      <c r="I161" s="44"/>
      <c r="J161" s="44">
        <v>0</v>
      </c>
      <c r="K161" s="44">
        <v>0</v>
      </c>
      <c r="L161" s="17"/>
      <c r="M161" s="60" t="e">
        <f>CONCATENATE(#REF!,G161)</f>
        <v>#REF!</v>
      </c>
      <c r="N161" s="60" t="str">
        <f t="shared" si="10"/>
        <v/>
      </c>
      <c r="O161" s="61" t="str">
        <f t="shared" si="11"/>
        <v>-</v>
      </c>
      <c r="P161" s="61"/>
      <c r="Q161" s="61"/>
      <c r="R161" s="61"/>
      <c r="S161" s="61"/>
      <c r="T161" s="61"/>
    </row>
    <row r="162" spans="1:76" s="62" customFormat="1" ht="35.1" customHeight="1">
      <c r="A162" s="63"/>
      <c r="B162" s="89"/>
      <c r="C162" s="65"/>
      <c r="D162" s="65"/>
      <c r="E162" s="65"/>
      <c r="F162" s="65"/>
      <c r="G162" s="65"/>
      <c r="H162" s="65"/>
      <c r="I162" s="44"/>
      <c r="J162" s="44"/>
      <c r="K162" s="44"/>
      <c r="L162" s="17"/>
      <c r="M162" s="60" t="e">
        <f>CONCATENATE(#REF!,G162)</f>
        <v>#REF!</v>
      </c>
      <c r="N162" s="60" t="str">
        <f t="shared" si="10"/>
        <v/>
      </c>
      <c r="O162" s="61" t="str">
        <f t="shared" si="11"/>
        <v>-</v>
      </c>
      <c r="P162" s="61"/>
      <c r="Q162" s="61"/>
      <c r="R162" s="61"/>
      <c r="S162" s="61"/>
      <c r="T162" s="61"/>
    </row>
    <row r="163" spans="1:76" s="62" customFormat="1" ht="35.1" customHeight="1">
      <c r="A163" s="63"/>
      <c r="B163" s="89"/>
      <c r="C163" s="65"/>
      <c r="D163" s="65"/>
      <c r="E163" s="65"/>
      <c r="F163" s="65"/>
      <c r="G163" s="65"/>
      <c r="H163" s="65"/>
      <c r="I163" s="44"/>
      <c r="J163" s="44">
        <v>0</v>
      </c>
      <c r="K163" s="44">
        <v>0</v>
      </c>
      <c r="L163" s="17"/>
      <c r="M163" s="60" t="e">
        <f>CONCATENATE(#REF!,G163)</f>
        <v>#REF!</v>
      </c>
      <c r="N163" s="60" t="str">
        <f t="shared" si="10"/>
        <v/>
      </c>
      <c r="O163" s="61" t="str">
        <f t="shared" si="11"/>
        <v>-</v>
      </c>
      <c r="P163" s="61"/>
      <c r="Q163" s="61"/>
      <c r="R163" s="61"/>
      <c r="S163" s="61"/>
      <c r="T163" s="61"/>
    </row>
    <row r="164" spans="1:76" s="62" customFormat="1" ht="35.1" customHeight="1">
      <c r="A164" s="63"/>
      <c r="B164" s="89"/>
      <c r="C164" s="65"/>
      <c r="D164" s="65"/>
      <c r="E164" s="65"/>
      <c r="F164" s="65"/>
      <c r="G164" s="65"/>
      <c r="H164" s="65"/>
      <c r="I164" s="44"/>
      <c r="J164" s="44">
        <v>0</v>
      </c>
      <c r="K164" s="44">
        <v>0</v>
      </c>
      <c r="L164" s="17"/>
      <c r="M164" s="60" t="e">
        <f>CONCATENATE(#REF!,G164)</f>
        <v>#REF!</v>
      </c>
      <c r="N164" s="60" t="str">
        <f t="shared" si="10"/>
        <v/>
      </c>
      <c r="O164" s="61" t="str">
        <f t="shared" si="11"/>
        <v>-</v>
      </c>
      <c r="P164" s="61"/>
      <c r="Q164" s="61"/>
      <c r="R164" s="61"/>
      <c r="S164" s="61"/>
      <c r="T164" s="61"/>
    </row>
    <row r="165" spans="1:76" s="62" customFormat="1" ht="35.1" customHeight="1">
      <c r="A165" s="63"/>
      <c r="B165" s="89"/>
      <c r="C165" s="65"/>
      <c r="D165" s="65"/>
      <c r="E165" s="65"/>
      <c r="F165" s="65"/>
      <c r="G165" s="65"/>
      <c r="H165" s="65"/>
      <c r="I165" s="44"/>
      <c r="J165" s="44">
        <v>0</v>
      </c>
      <c r="K165" s="44">
        <v>0</v>
      </c>
      <c r="L165" s="17"/>
      <c r="M165" s="60" t="e">
        <f>CONCATENATE(#REF!,G165)</f>
        <v>#REF!</v>
      </c>
      <c r="N165" s="60" t="str">
        <f t="shared" si="10"/>
        <v/>
      </c>
      <c r="O165" s="61" t="str">
        <f t="shared" si="11"/>
        <v>-</v>
      </c>
      <c r="P165" s="61"/>
      <c r="Q165" s="61"/>
      <c r="R165" s="61"/>
      <c r="S165" s="61"/>
      <c r="T165" s="61"/>
    </row>
    <row r="166" spans="1:76" s="62" customFormat="1" ht="35.1" customHeight="1">
      <c r="A166" s="63"/>
      <c r="B166" s="64"/>
      <c r="C166" s="65"/>
      <c r="D166" s="65"/>
      <c r="E166" s="65"/>
      <c r="F166" s="65"/>
      <c r="G166" s="65"/>
      <c r="H166" s="65"/>
      <c r="I166" s="44"/>
      <c r="J166" s="44"/>
      <c r="K166" s="44"/>
      <c r="L166" s="17"/>
      <c r="M166" s="60" t="e">
        <f>CONCATENATE(#REF!,G166)</f>
        <v>#REF!</v>
      </c>
      <c r="N166" s="60" t="str">
        <f t="shared" si="10"/>
        <v/>
      </c>
      <c r="O166" s="61" t="str">
        <f t="shared" si="11"/>
        <v>-</v>
      </c>
      <c r="P166" s="61"/>
      <c r="Q166" s="61"/>
      <c r="R166" s="61"/>
      <c r="S166" s="61"/>
      <c r="T166" s="61"/>
    </row>
    <row r="167" spans="1:76" s="62" customFormat="1" ht="35.1" customHeight="1">
      <c r="A167" s="63"/>
      <c r="B167" s="64"/>
      <c r="C167" s="65"/>
      <c r="D167" s="65"/>
      <c r="E167" s="65"/>
      <c r="F167" s="65"/>
      <c r="G167" s="65"/>
      <c r="H167" s="65"/>
      <c r="I167" s="44"/>
      <c r="J167" s="44"/>
      <c r="K167" s="44"/>
      <c r="L167" s="17"/>
      <c r="M167" s="60" t="e">
        <f>CONCATENATE(#REF!,G167)</f>
        <v>#REF!</v>
      </c>
      <c r="N167" s="60" t="str">
        <f t="shared" si="10"/>
        <v/>
      </c>
      <c r="O167" s="61" t="str">
        <f t="shared" si="11"/>
        <v>-</v>
      </c>
      <c r="P167" s="61"/>
      <c r="Q167" s="61"/>
      <c r="R167" s="61"/>
      <c r="S167" s="61"/>
      <c r="T167" s="61"/>
    </row>
    <row r="168" spans="1:76" s="62" customFormat="1" ht="35.1" customHeight="1">
      <c r="A168" s="63"/>
      <c r="B168" s="64"/>
      <c r="C168" s="65"/>
      <c r="D168" s="65"/>
      <c r="E168" s="65"/>
      <c r="F168" s="65"/>
      <c r="G168" s="65"/>
      <c r="H168" s="65"/>
      <c r="I168" s="44"/>
      <c r="J168" s="44"/>
      <c r="K168" s="44"/>
      <c r="L168" s="17"/>
      <c r="M168" s="60" t="e">
        <f>CONCATENATE(#REF!,G168)</f>
        <v>#REF!</v>
      </c>
      <c r="N168" s="60" t="str">
        <f t="shared" si="10"/>
        <v/>
      </c>
      <c r="O168" s="61" t="str">
        <f t="shared" si="11"/>
        <v>-</v>
      </c>
      <c r="P168" s="61"/>
      <c r="Q168" s="61"/>
      <c r="R168" s="61"/>
      <c r="S168" s="61"/>
      <c r="T168" s="61"/>
    </row>
    <row r="169" spans="1:76" s="62" customFormat="1" ht="35.1" customHeight="1">
      <c r="A169" s="63"/>
      <c r="B169" s="64"/>
      <c r="C169" s="65"/>
      <c r="D169" s="65"/>
      <c r="E169" s="65"/>
      <c r="F169" s="65"/>
      <c r="G169" s="65"/>
      <c r="H169" s="65"/>
      <c r="I169" s="44"/>
      <c r="J169" s="44"/>
      <c r="K169" s="44"/>
      <c r="L169" s="17"/>
      <c r="M169" s="60" t="e">
        <f>CONCATENATE(#REF!,G169)</f>
        <v>#REF!</v>
      </c>
      <c r="N169" s="60" t="str">
        <f t="shared" si="10"/>
        <v/>
      </c>
      <c r="O169" s="61" t="str">
        <f t="shared" si="11"/>
        <v>-</v>
      </c>
      <c r="P169" s="61"/>
      <c r="Q169" s="61"/>
      <c r="R169" s="61"/>
      <c r="S169" s="61"/>
      <c r="T169" s="61"/>
    </row>
    <row r="170" spans="1:76" s="62" customFormat="1" ht="35.1" customHeight="1">
      <c r="A170" s="63"/>
      <c r="B170" s="64"/>
      <c r="C170" s="65"/>
      <c r="D170" s="65"/>
      <c r="E170" s="65"/>
      <c r="F170" s="65"/>
      <c r="G170" s="65"/>
      <c r="H170" s="65"/>
      <c r="I170" s="44"/>
      <c r="J170" s="44"/>
      <c r="K170" s="44"/>
      <c r="L170" s="17"/>
      <c r="M170" s="60" t="e">
        <f>CONCATENATE(#REF!,G170)</f>
        <v>#REF!</v>
      </c>
      <c r="N170" s="60" t="str">
        <f t="shared" si="10"/>
        <v/>
      </c>
      <c r="O170" s="61" t="str">
        <f t="shared" si="11"/>
        <v>-</v>
      </c>
      <c r="P170" s="61"/>
      <c r="Q170" s="61"/>
      <c r="R170" s="61"/>
      <c r="S170" s="61"/>
      <c r="T170" s="61"/>
    </row>
    <row r="171" spans="1:76" s="62" customFormat="1" ht="35.1" customHeight="1">
      <c r="A171" s="63"/>
      <c r="B171" s="64"/>
      <c r="C171" s="65"/>
      <c r="D171" s="65"/>
      <c r="E171" s="65"/>
      <c r="F171" s="65"/>
      <c r="G171" s="65"/>
      <c r="H171" s="65"/>
      <c r="I171" s="44"/>
      <c r="J171" s="44"/>
      <c r="K171" s="44"/>
      <c r="L171" s="17"/>
      <c r="M171" s="60" t="e">
        <f>CONCATENATE(#REF!,G171)</f>
        <v>#REF!</v>
      </c>
      <c r="N171" s="60" t="str">
        <f t="shared" si="10"/>
        <v/>
      </c>
      <c r="O171" s="61" t="str">
        <f t="shared" si="11"/>
        <v>-</v>
      </c>
      <c r="P171" s="61"/>
      <c r="Q171" s="61"/>
      <c r="R171" s="61"/>
      <c r="S171" s="61"/>
      <c r="T171" s="61"/>
    </row>
    <row r="172" spans="1:76" s="62" customFormat="1" ht="35.1" customHeight="1">
      <c r="A172" s="63"/>
      <c r="B172" s="64"/>
      <c r="C172" s="65"/>
      <c r="D172" s="65"/>
      <c r="E172" s="65"/>
      <c r="F172" s="65"/>
      <c r="G172" s="65"/>
      <c r="H172" s="65"/>
      <c r="I172" s="44"/>
      <c r="J172" s="44"/>
      <c r="K172" s="44"/>
      <c r="L172" s="17"/>
      <c r="M172" s="60" t="e">
        <f>CONCATENATE(#REF!,G172)</f>
        <v>#REF!</v>
      </c>
      <c r="N172" s="60" t="str">
        <f t="shared" si="10"/>
        <v/>
      </c>
      <c r="O172" s="61" t="str">
        <f t="shared" si="11"/>
        <v>-</v>
      </c>
      <c r="P172" s="61"/>
      <c r="Q172" s="61"/>
      <c r="R172" s="61"/>
      <c r="S172" s="61"/>
      <c r="T172" s="61"/>
    </row>
    <row r="173" spans="1:76" s="62" customFormat="1" ht="35.1" customHeight="1">
      <c r="A173" s="63"/>
      <c r="B173" s="64"/>
      <c r="C173" s="65"/>
      <c r="D173" s="65"/>
      <c r="E173" s="65"/>
      <c r="F173" s="65"/>
      <c r="G173" s="65"/>
      <c r="H173" s="65"/>
      <c r="I173" s="44"/>
      <c r="J173" s="44"/>
      <c r="K173" s="44"/>
      <c r="L173" s="17"/>
      <c r="M173" s="60" t="e">
        <f>CONCATENATE(#REF!,G173)</f>
        <v>#REF!</v>
      </c>
      <c r="N173" s="60" t="str">
        <f t="shared" si="10"/>
        <v/>
      </c>
      <c r="O173" s="61" t="str">
        <f t="shared" si="11"/>
        <v>-</v>
      </c>
      <c r="P173" s="61"/>
      <c r="Q173" s="61"/>
      <c r="R173" s="61"/>
      <c r="S173" s="61"/>
      <c r="T173" s="61"/>
    </row>
    <row r="174" spans="1:76" s="62" customFormat="1" ht="35.1" customHeight="1">
      <c r="A174" s="63"/>
      <c r="B174" s="64"/>
      <c r="C174" s="65"/>
      <c r="D174" s="65"/>
      <c r="E174" s="65"/>
      <c r="F174" s="65"/>
      <c r="G174" s="65"/>
      <c r="H174" s="65"/>
      <c r="I174" s="44"/>
      <c r="J174" s="44"/>
      <c r="K174" s="44"/>
      <c r="L174" s="17"/>
      <c r="M174" s="60" t="e">
        <f>CONCATENATE(#REF!,G174)</f>
        <v>#REF!</v>
      </c>
      <c r="N174" s="60" t="str">
        <f t="shared" si="10"/>
        <v/>
      </c>
      <c r="O174" s="61" t="str">
        <f t="shared" si="11"/>
        <v>-</v>
      </c>
      <c r="P174" s="61"/>
      <c r="Q174" s="61"/>
      <c r="R174" s="61"/>
      <c r="S174" s="61"/>
      <c r="T174" s="61"/>
    </row>
    <row r="175" spans="1:76" s="73" customFormat="1" ht="35.1" customHeight="1">
      <c r="A175" s="66" t="s">
        <v>41</v>
      </c>
      <c r="B175" s="67"/>
      <c r="C175" s="68"/>
      <c r="D175" s="69"/>
      <c r="E175" s="69"/>
      <c r="F175" s="69">
        <f>SUM(F155:F174)</f>
        <v>0</v>
      </c>
      <c r="G175" s="70"/>
      <c r="H175" s="70"/>
      <c r="I175" s="70"/>
      <c r="J175" s="70"/>
      <c r="K175" s="70"/>
      <c r="L175" s="71"/>
      <c r="M175" s="60" t="e">
        <f>CONCATENATE(#REF!,G175)</f>
        <v>#REF!</v>
      </c>
      <c r="N175" s="60" t="str">
        <f t="shared" si="10"/>
        <v/>
      </c>
      <c r="O175" s="61"/>
      <c r="P175" s="61"/>
      <c r="Q175" s="61"/>
      <c r="R175" s="61"/>
      <c r="S175" s="61"/>
      <c r="T175" s="61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  <c r="BT175" s="72"/>
      <c r="BU175" s="72"/>
      <c r="BV175" s="72"/>
      <c r="BW175" s="72"/>
      <c r="BX175" s="72"/>
    </row>
    <row r="176" spans="1:76" s="62" customFormat="1" ht="35.1" customHeight="1">
      <c r="A176" s="58"/>
      <c r="B176" s="82"/>
      <c r="C176" s="59"/>
      <c r="D176" s="59"/>
      <c r="E176" s="59"/>
      <c r="F176" s="59"/>
      <c r="G176" s="59"/>
      <c r="H176" s="59"/>
      <c r="I176" s="43"/>
      <c r="J176" s="43"/>
      <c r="K176" s="43"/>
      <c r="L176" s="16"/>
      <c r="M176" s="60" t="e">
        <f>CONCATENATE(#REF!,G176)</f>
        <v>#REF!</v>
      </c>
      <c r="N176" s="60" t="str">
        <f t="shared" si="10"/>
        <v/>
      </c>
      <c r="O176" s="61" t="str">
        <f t="shared" ref="O176:O195" si="12">IF(D176&gt;=F176,"-","err")</f>
        <v>-</v>
      </c>
      <c r="P176" s="61"/>
      <c r="Q176" s="61"/>
      <c r="R176" s="61"/>
      <c r="S176" s="61"/>
      <c r="T176" s="61"/>
    </row>
    <row r="177" spans="1:20" s="62" customFormat="1" ht="35.1" customHeight="1">
      <c r="A177" s="92"/>
      <c r="B177" s="96"/>
      <c r="C177" s="93"/>
      <c r="D177" s="93"/>
      <c r="E177" s="93"/>
      <c r="F177" s="93"/>
      <c r="G177" s="93"/>
      <c r="H177" s="93"/>
      <c r="I177" s="94"/>
      <c r="J177" s="94"/>
      <c r="K177" s="94"/>
      <c r="L177" s="95"/>
      <c r="M177" s="60" t="e">
        <f>CONCATENATE(#REF!,G177)</f>
        <v>#REF!</v>
      </c>
      <c r="N177" s="60" t="str">
        <f t="shared" si="10"/>
        <v/>
      </c>
      <c r="O177" s="61" t="str">
        <f t="shared" si="12"/>
        <v>-</v>
      </c>
      <c r="P177" s="61"/>
      <c r="Q177" s="61"/>
      <c r="R177" s="61"/>
      <c r="S177" s="61"/>
      <c r="T177" s="61"/>
    </row>
    <row r="178" spans="1:20" s="62" customFormat="1" ht="35.1" customHeight="1">
      <c r="A178" s="63"/>
      <c r="B178" s="83"/>
      <c r="C178" s="65"/>
      <c r="D178" s="65"/>
      <c r="E178" s="65"/>
      <c r="F178" s="65"/>
      <c r="G178" s="65"/>
      <c r="H178" s="65"/>
      <c r="I178" s="44">
        <v>0</v>
      </c>
      <c r="J178" s="44">
        <v>0</v>
      </c>
      <c r="K178" s="44">
        <v>0</v>
      </c>
      <c r="L178" s="17"/>
      <c r="M178" s="60" t="e">
        <f>CONCATENATE(#REF!,G178)</f>
        <v>#REF!</v>
      </c>
      <c r="N178" s="60" t="str">
        <f t="shared" si="10"/>
        <v/>
      </c>
      <c r="O178" s="61" t="str">
        <f t="shared" si="12"/>
        <v>-</v>
      </c>
      <c r="P178" s="61"/>
      <c r="Q178" s="61"/>
      <c r="R178" s="61"/>
      <c r="S178" s="61"/>
      <c r="T178" s="61"/>
    </row>
    <row r="179" spans="1:20" s="62" customFormat="1" ht="35.1" customHeight="1">
      <c r="A179" s="63"/>
      <c r="B179" s="84"/>
      <c r="C179" s="65"/>
      <c r="D179" s="65"/>
      <c r="E179" s="65"/>
      <c r="F179" s="65"/>
      <c r="G179" s="65"/>
      <c r="H179" s="65"/>
      <c r="I179" s="44">
        <v>0</v>
      </c>
      <c r="J179" s="44">
        <v>0</v>
      </c>
      <c r="K179" s="44">
        <v>0</v>
      </c>
      <c r="L179" s="17"/>
      <c r="M179" s="60" t="e">
        <f>CONCATENATE(#REF!,G179)</f>
        <v>#REF!</v>
      </c>
      <c r="N179" s="60" t="str">
        <f t="shared" si="10"/>
        <v/>
      </c>
      <c r="O179" s="61" t="str">
        <f t="shared" si="12"/>
        <v>-</v>
      </c>
      <c r="P179" s="61"/>
      <c r="Q179" s="61"/>
      <c r="R179" s="61"/>
      <c r="S179" s="61"/>
      <c r="T179" s="61"/>
    </row>
    <row r="180" spans="1:20" s="62" customFormat="1" ht="35.1" customHeight="1">
      <c r="A180" s="63"/>
      <c r="B180" s="89"/>
      <c r="C180" s="65"/>
      <c r="D180" s="65"/>
      <c r="E180" s="65"/>
      <c r="F180" s="65"/>
      <c r="G180" s="65"/>
      <c r="H180" s="65"/>
      <c r="I180" s="44">
        <v>0</v>
      </c>
      <c r="J180" s="44">
        <v>0</v>
      </c>
      <c r="K180" s="44">
        <v>0</v>
      </c>
      <c r="L180" s="17"/>
      <c r="M180" s="60" t="e">
        <f>CONCATENATE(#REF!,G180)</f>
        <v>#REF!</v>
      </c>
      <c r="N180" s="60" t="str">
        <f t="shared" si="10"/>
        <v/>
      </c>
      <c r="O180" s="61" t="str">
        <f t="shared" si="12"/>
        <v>-</v>
      </c>
      <c r="P180" s="61"/>
      <c r="Q180" s="61"/>
      <c r="R180" s="61"/>
      <c r="S180" s="61"/>
      <c r="T180" s="61"/>
    </row>
    <row r="181" spans="1:20" s="62" customFormat="1" ht="35.1" customHeight="1">
      <c r="A181" s="63"/>
      <c r="B181" s="89"/>
      <c r="C181" s="65"/>
      <c r="D181" s="65"/>
      <c r="E181" s="65"/>
      <c r="F181" s="65"/>
      <c r="G181" s="65"/>
      <c r="H181" s="65"/>
      <c r="I181" s="44">
        <v>0</v>
      </c>
      <c r="J181" s="44">
        <v>0</v>
      </c>
      <c r="K181" s="44">
        <v>0</v>
      </c>
      <c r="L181" s="17"/>
      <c r="M181" s="60" t="e">
        <f>CONCATENATE(#REF!,G181)</f>
        <v>#REF!</v>
      </c>
      <c r="N181" s="60" t="str">
        <f t="shared" si="10"/>
        <v/>
      </c>
      <c r="O181" s="61" t="str">
        <f t="shared" si="12"/>
        <v>-</v>
      </c>
      <c r="P181" s="61"/>
      <c r="Q181" s="61"/>
      <c r="R181" s="61"/>
      <c r="S181" s="61"/>
      <c r="T181" s="61"/>
    </row>
    <row r="182" spans="1:20" s="62" customFormat="1" ht="35.1" customHeight="1">
      <c r="A182" s="63"/>
      <c r="B182" s="89"/>
      <c r="C182" s="65"/>
      <c r="D182" s="65"/>
      <c r="E182" s="65"/>
      <c r="F182" s="65"/>
      <c r="G182" s="65"/>
      <c r="H182" s="65"/>
      <c r="I182" s="44"/>
      <c r="J182" s="44"/>
      <c r="K182" s="44"/>
      <c r="L182" s="17"/>
      <c r="M182" s="60" t="e">
        <f>CONCATENATE(#REF!,G182)</f>
        <v>#REF!</v>
      </c>
      <c r="N182" s="60" t="str">
        <f t="shared" si="10"/>
        <v/>
      </c>
      <c r="O182" s="61" t="str">
        <f t="shared" si="12"/>
        <v>-</v>
      </c>
      <c r="P182" s="61"/>
      <c r="Q182" s="61"/>
      <c r="R182" s="61"/>
      <c r="S182" s="61"/>
      <c r="T182" s="61"/>
    </row>
    <row r="183" spans="1:20" s="62" customFormat="1" ht="35.1" customHeight="1">
      <c r="A183" s="63"/>
      <c r="B183" s="89"/>
      <c r="C183" s="65"/>
      <c r="D183" s="65"/>
      <c r="E183" s="65"/>
      <c r="F183" s="65"/>
      <c r="G183" s="65"/>
      <c r="H183" s="65"/>
      <c r="I183" s="44"/>
      <c r="J183" s="44"/>
      <c r="K183" s="44"/>
      <c r="L183" s="17"/>
      <c r="M183" s="60" t="e">
        <f>CONCATENATE(#REF!,G183)</f>
        <v>#REF!</v>
      </c>
      <c r="N183" s="60" t="str">
        <f t="shared" si="10"/>
        <v/>
      </c>
      <c r="O183" s="61" t="str">
        <f t="shared" si="12"/>
        <v>-</v>
      </c>
      <c r="P183" s="61"/>
      <c r="Q183" s="61"/>
      <c r="R183" s="61"/>
      <c r="S183" s="61"/>
      <c r="T183" s="61"/>
    </row>
    <row r="184" spans="1:20" s="62" customFormat="1" ht="35.1" customHeight="1">
      <c r="A184" s="63"/>
      <c r="B184" s="89"/>
      <c r="C184" s="65"/>
      <c r="D184" s="65"/>
      <c r="E184" s="65"/>
      <c r="F184" s="65"/>
      <c r="G184" s="65"/>
      <c r="H184" s="65"/>
      <c r="I184" s="44"/>
      <c r="J184" s="44"/>
      <c r="K184" s="44"/>
      <c r="L184" s="17"/>
      <c r="M184" s="60" t="e">
        <f>CONCATENATE(#REF!,G184)</f>
        <v>#REF!</v>
      </c>
      <c r="N184" s="60" t="str">
        <f t="shared" si="10"/>
        <v/>
      </c>
      <c r="O184" s="61" t="str">
        <f t="shared" si="12"/>
        <v>-</v>
      </c>
      <c r="P184" s="61"/>
      <c r="Q184" s="61"/>
      <c r="R184" s="61"/>
      <c r="S184" s="61"/>
      <c r="T184" s="61"/>
    </row>
    <row r="185" spans="1:20" s="62" customFormat="1" ht="35.1" customHeight="1">
      <c r="A185" s="63"/>
      <c r="B185" s="89"/>
      <c r="C185" s="65"/>
      <c r="D185" s="65"/>
      <c r="E185" s="65"/>
      <c r="F185" s="65"/>
      <c r="G185" s="65"/>
      <c r="H185" s="65"/>
      <c r="I185" s="44">
        <v>0</v>
      </c>
      <c r="J185" s="44">
        <v>0</v>
      </c>
      <c r="K185" s="44">
        <v>0</v>
      </c>
      <c r="L185" s="17"/>
      <c r="M185" s="60" t="e">
        <f>CONCATENATE(#REF!,G185)</f>
        <v>#REF!</v>
      </c>
      <c r="N185" s="60" t="str">
        <f t="shared" si="10"/>
        <v/>
      </c>
      <c r="O185" s="61" t="str">
        <f t="shared" si="12"/>
        <v>-</v>
      </c>
      <c r="P185" s="61"/>
      <c r="Q185" s="61"/>
      <c r="R185" s="61"/>
      <c r="S185" s="61"/>
      <c r="T185" s="61"/>
    </row>
    <row r="186" spans="1:20" s="62" customFormat="1" ht="35.1" customHeight="1">
      <c r="A186" s="63"/>
      <c r="B186" s="89"/>
      <c r="C186" s="65"/>
      <c r="D186" s="65"/>
      <c r="E186" s="65"/>
      <c r="F186" s="65"/>
      <c r="G186" s="65"/>
      <c r="H186" s="65"/>
      <c r="I186" s="44">
        <v>0</v>
      </c>
      <c r="J186" s="44">
        <v>0</v>
      </c>
      <c r="K186" s="44">
        <v>0</v>
      </c>
      <c r="L186" s="17"/>
      <c r="M186" s="60" t="e">
        <f>CONCATENATE(#REF!,G186)</f>
        <v>#REF!</v>
      </c>
      <c r="N186" s="60" t="str">
        <f t="shared" si="10"/>
        <v/>
      </c>
      <c r="O186" s="61" t="str">
        <f t="shared" si="12"/>
        <v>-</v>
      </c>
      <c r="P186" s="61"/>
      <c r="Q186" s="61"/>
      <c r="R186" s="61"/>
      <c r="S186" s="61"/>
      <c r="T186" s="61"/>
    </row>
    <row r="187" spans="1:20" s="62" customFormat="1" ht="35.1" customHeight="1">
      <c r="A187" s="63"/>
      <c r="B187" s="64"/>
      <c r="C187" s="65"/>
      <c r="D187" s="65"/>
      <c r="E187" s="65"/>
      <c r="F187" s="65"/>
      <c r="G187" s="65"/>
      <c r="H187" s="65"/>
      <c r="I187" s="44"/>
      <c r="J187" s="44"/>
      <c r="K187" s="44"/>
      <c r="L187" s="17"/>
      <c r="M187" s="60" t="e">
        <f>CONCATENATE(#REF!,G187)</f>
        <v>#REF!</v>
      </c>
      <c r="N187" s="60" t="str">
        <f t="shared" si="10"/>
        <v/>
      </c>
      <c r="O187" s="61" t="str">
        <f t="shared" si="12"/>
        <v>-</v>
      </c>
      <c r="P187" s="61"/>
      <c r="Q187" s="61"/>
      <c r="R187" s="61"/>
      <c r="S187" s="61"/>
      <c r="T187" s="61"/>
    </row>
    <row r="188" spans="1:20" s="62" customFormat="1" ht="35.1" customHeight="1">
      <c r="A188" s="63"/>
      <c r="B188" s="64"/>
      <c r="C188" s="65"/>
      <c r="D188" s="65"/>
      <c r="E188" s="65"/>
      <c r="F188" s="65"/>
      <c r="G188" s="65"/>
      <c r="H188" s="65"/>
      <c r="I188" s="44"/>
      <c r="J188" s="44"/>
      <c r="K188" s="44"/>
      <c r="L188" s="17"/>
      <c r="M188" s="60" t="e">
        <f>CONCATENATE(#REF!,G188)</f>
        <v>#REF!</v>
      </c>
      <c r="N188" s="60" t="str">
        <f t="shared" si="10"/>
        <v/>
      </c>
      <c r="O188" s="61" t="str">
        <f t="shared" si="12"/>
        <v>-</v>
      </c>
      <c r="P188" s="61"/>
      <c r="Q188" s="61"/>
      <c r="R188" s="61"/>
      <c r="S188" s="61"/>
      <c r="T188" s="61"/>
    </row>
    <row r="189" spans="1:20" s="62" customFormat="1" ht="35.1" customHeight="1">
      <c r="A189" s="63"/>
      <c r="B189" s="64"/>
      <c r="C189" s="65"/>
      <c r="D189" s="65"/>
      <c r="E189" s="65"/>
      <c r="F189" s="65"/>
      <c r="G189" s="65"/>
      <c r="H189" s="65"/>
      <c r="I189" s="44"/>
      <c r="J189" s="44"/>
      <c r="K189" s="44"/>
      <c r="L189" s="17"/>
      <c r="M189" s="60" t="e">
        <f>CONCATENATE(#REF!,G189)</f>
        <v>#REF!</v>
      </c>
      <c r="N189" s="60" t="str">
        <f t="shared" si="10"/>
        <v/>
      </c>
      <c r="O189" s="61" t="str">
        <f t="shared" si="12"/>
        <v>-</v>
      </c>
      <c r="P189" s="61"/>
      <c r="Q189" s="61"/>
      <c r="R189" s="61"/>
      <c r="S189" s="61"/>
      <c r="T189" s="61"/>
    </row>
    <row r="190" spans="1:20" s="62" customFormat="1" ht="35.1" customHeight="1">
      <c r="A190" s="63"/>
      <c r="B190" s="64"/>
      <c r="C190" s="65"/>
      <c r="D190" s="65"/>
      <c r="E190" s="65"/>
      <c r="F190" s="65"/>
      <c r="G190" s="65"/>
      <c r="H190" s="65"/>
      <c r="I190" s="44"/>
      <c r="J190" s="44"/>
      <c r="K190" s="44"/>
      <c r="L190" s="17"/>
      <c r="M190" s="60" t="e">
        <f>CONCATENATE(#REF!,G190)</f>
        <v>#REF!</v>
      </c>
      <c r="N190" s="60" t="str">
        <f t="shared" si="10"/>
        <v/>
      </c>
      <c r="O190" s="61" t="str">
        <f t="shared" si="12"/>
        <v>-</v>
      </c>
      <c r="P190" s="61"/>
      <c r="Q190" s="61"/>
      <c r="R190" s="61"/>
      <c r="S190" s="61"/>
      <c r="T190" s="61"/>
    </row>
    <row r="191" spans="1:20" s="62" customFormat="1" ht="35.1" customHeight="1">
      <c r="A191" s="63"/>
      <c r="B191" s="64"/>
      <c r="C191" s="65"/>
      <c r="D191" s="65"/>
      <c r="E191" s="65"/>
      <c r="F191" s="65"/>
      <c r="G191" s="65"/>
      <c r="H191" s="65"/>
      <c r="I191" s="44"/>
      <c r="J191" s="44"/>
      <c r="K191" s="44"/>
      <c r="L191" s="17"/>
      <c r="M191" s="60" t="e">
        <f>CONCATENATE(#REF!,G191)</f>
        <v>#REF!</v>
      </c>
      <c r="N191" s="60" t="str">
        <f t="shared" si="10"/>
        <v/>
      </c>
      <c r="O191" s="61" t="str">
        <f t="shared" si="12"/>
        <v>-</v>
      </c>
      <c r="P191" s="61"/>
      <c r="Q191" s="61"/>
      <c r="R191" s="61"/>
      <c r="S191" s="61"/>
      <c r="T191" s="61"/>
    </row>
    <row r="192" spans="1:20" s="62" customFormat="1" ht="35.1" customHeight="1">
      <c r="A192" s="63"/>
      <c r="B192" s="64"/>
      <c r="C192" s="65"/>
      <c r="D192" s="65"/>
      <c r="E192" s="65"/>
      <c r="F192" s="65"/>
      <c r="G192" s="65"/>
      <c r="H192" s="65"/>
      <c r="I192" s="44"/>
      <c r="J192" s="44"/>
      <c r="K192" s="44"/>
      <c r="L192" s="17"/>
      <c r="M192" s="60" t="e">
        <f>CONCATENATE(#REF!,G192)</f>
        <v>#REF!</v>
      </c>
      <c r="N192" s="60" t="str">
        <f t="shared" si="10"/>
        <v/>
      </c>
      <c r="O192" s="61" t="str">
        <f t="shared" si="12"/>
        <v>-</v>
      </c>
      <c r="P192" s="61"/>
      <c r="Q192" s="61"/>
      <c r="R192" s="61"/>
      <c r="S192" s="61"/>
      <c r="T192" s="61"/>
    </row>
    <row r="193" spans="1:76" s="62" customFormat="1" ht="35.1" customHeight="1">
      <c r="A193" s="63"/>
      <c r="B193" s="64"/>
      <c r="C193" s="65"/>
      <c r="D193" s="65"/>
      <c r="E193" s="65"/>
      <c r="F193" s="65"/>
      <c r="G193" s="65"/>
      <c r="H193" s="65"/>
      <c r="I193" s="44"/>
      <c r="J193" s="44"/>
      <c r="K193" s="44"/>
      <c r="L193" s="17"/>
      <c r="M193" s="60" t="e">
        <f>CONCATENATE(#REF!,G193)</f>
        <v>#REF!</v>
      </c>
      <c r="N193" s="60" t="str">
        <f t="shared" si="10"/>
        <v/>
      </c>
      <c r="O193" s="61" t="str">
        <f t="shared" si="12"/>
        <v>-</v>
      </c>
      <c r="P193" s="61"/>
      <c r="Q193" s="61"/>
      <c r="R193" s="61"/>
      <c r="S193" s="61"/>
      <c r="T193" s="61"/>
    </row>
    <row r="194" spans="1:76" s="62" customFormat="1" ht="35.1" customHeight="1">
      <c r="A194" s="63"/>
      <c r="B194" s="64"/>
      <c r="C194" s="65"/>
      <c r="D194" s="65"/>
      <c r="E194" s="65"/>
      <c r="F194" s="65"/>
      <c r="G194" s="65"/>
      <c r="H194" s="65"/>
      <c r="I194" s="44"/>
      <c r="J194" s="44"/>
      <c r="K194" s="44"/>
      <c r="L194" s="17"/>
      <c r="M194" s="60" t="e">
        <f>CONCATENATE(#REF!,G194)</f>
        <v>#REF!</v>
      </c>
      <c r="N194" s="60" t="str">
        <f t="shared" si="10"/>
        <v/>
      </c>
      <c r="O194" s="61" t="str">
        <f t="shared" si="12"/>
        <v>-</v>
      </c>
      <c r="P194" s="61"/>
      <c r="Q194" s="61"/>
      <c r="R194" s="61"/>
      <c r="S194" s="61"/>
      <c r="T194" s="61"/>
    </row>
    <row r="195" spans="1:76" s="62" customFormat="1" ht="35.1" customHeight="1">
      <c r="A195" s="63"/>
      <c r="B195" s="64"/>
      <c r="C195" s="65"/>
      <c r="D195" s="65"/>
      <c r="E195" s="65"/>
      <c r="F195" s="65"/>
      <c r="G195" s="65"/>
      <c r="H195" s="65"/>
      <c r="I195" s="44"/>
      <c r="J195" s="44"/>
      <c r="K195" s="44"/>
      <c r="L195" s="17"/>
      <c r="M195" s="60" t="e">
        <f>CONCATENATE(#REF!,G195)</f>
        <v>#REF!</v>
      </c>
      <c r="N195" s="60" t="str">
        <f t="shared" si="10"/>
        <v/>
      </c>
      <c r="O195" s="61" t="str">
        <f t="shared" si="12"/>
        <v>-</v>
      </c>
      <c r="P195" s="61"/>
      <c r="Q195" s="61"/>
      <c r="R195" s="61"/>
      <c r="S195" s="61"/>
      <c r="T195" s="61"/>
    </row>
    <row r="196" spans="1:76" s="73" customFormat="1" ht="35.1" customHeight="1">
      <c r="A196" s="66" t="s">
        <v>41</v>
      </c>
      <c r="B196" s="67"/>
      <c r="C196" s="68"/>
      <c r="D196" s="69"/>
      <c r="E196" s="69"/>
      <c r="F196" s="69">
        <f>SUM(F176:F195)</f>
        <v>0</v>
      </c>
      <c r="G196" s="70"/>
      <c r="H196" s="70"/>
      <c r="I196" s="70"/>
      <c r="J196" s="70"/>
      <c r="K196" s="70"/>
      <c r="L196" s="71"/>
      <c r="M196" s="60" t="e">
        <f>CONCATENATE(#REF!,G196)</f>
        <v>#REF!</v>
      </c>
      <c r="N196" s="60" t="str">
        <f t="shared" si="10"/>
        <v/>
      </c>
      <c r="O196" s="61"/>
      <c r="P196" s="61"/>
      <c r="Q196" s="61"/>
      <c r="R196" s="61"/>
      <c r="S196" s="61"/>
      <c r="T196" s="61"/>
      <c r="U196" s="72"/>
      <c r="V196" s="72"/>
      <c r="W196" s="72"/>
      <c r="X196" s="72"/>
      <c r="Y196" s="72"/>
      <c r="Z196" s="72"/>
      <c r="AA196" s="72"/>
      <c r="AB196" s="72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  <c r="AM196" s="72"/>
      <c r="AN196" s="72"/>
      <c r="AO196" s="72"/>
      <c r="AP196" s="72"/>
      <c r="AQ196" s="72"/>
      <c r="AR196" s="72"/>
      <c r="AS196" s="72"/>
      <c r="AT196" s="72"/>
      <c r="AU196" s="72"/>
      <c r="AV196" s="72"/>
      <c r="AW196" s="72"/>
      <c r="AX196" s="72"/>
      <c r="AY196" s="72"/>
      <c r="AZ196" s="72"/>
      <c r="BA196" s="72"/>
      <c r="BB196" s="72"/>
      <c r="BC196" s="72"/>
      <c r="BD196" s="72"/>
      <c r="BE196" s="72"/>
      <c r="BF196" s="72"/>
      <c r="BG196" s="72"/>
      <c r="BH196" s="72"/>
      <c r="BI196" s="72"/>
      <c r="BJ196" s="72"/>
      <c r="BK196" s="72"/>
      <c r="BL196" s="72"/>
      <c r="BM196" s="72"/>
      <c r="BN196" s="72"/>
      <c r="BO196" s="72"/>
      <c r="BP196" s="72"/>
      <c r="BQ196" s="72"/>
      <c r="BR196" s="72"/>
      <c r="BS196" s="72"/>
      <c r="BT196" s="72"/>
      <c r="BU196" s="72"/>
      <c r="BV196" s="72"/>
      <c r="BW196" s="72"/>
      <c r="BX196" s="72"/>
    </row>
    <row r="197" spans="1:76" s="62" customFormat="1" ht="35.1" customHeight="1">
      <c r="A197" s="58"/>
      <c r="B197" s="82"/>
      <c r="C197" s="59"/>
      <c r="D197" s="59"/>
      <c r="E197" s="59"/>
      <c r="F197" s="59"/>
      <c r="G197" s="59"/>
      <c r="H197" s="59"/>
      <c r="I197" s="43"/>
      <c r="J197" s="43"/>
      <c r="K197" s="43"/>
      <c r="L197" s="16"/>
      <c r="M197" s="60" t="e">
        <f>CONCATENATE(#REF!,G197)</f>
        <v>#REF!</v>
      </c>
      <c r="N197" s="60" t="str">
        <f t="shared" si="10"/>
        <v/>
      </c>
      <c r="O197" s="61" t="str">
        <f t="shared" ref="O197:O216" si="13">IF(D197&gt;=F197,"-","err")</f>
        <v>-</v>
      </c>
      <c r="P197" s="61"/>
      <c r="Q197" s="61"/>
      <c r="R197" s="61"/>
      <c r="S197" s="61"/>
      <c r="T197" s="61"/>
    </row>
    <row r="198" spans="1:76" s="62" customFormat="1" ht="35.1" customHeight="1">
      <c r="A198" s="92"/>
      <c r="B198" s="96"/>
      <c r="C198" s="93"/>
      <c r="D198" s="93"/>
      <c r="E198" s="93"/>
      <c r="F198" s="93"/>
      <c r="G198" s="93"/>
      <c r="H198" s="93"/>
      <c r="I198" s="94"/>
      <c r="J198" s="94"/>
      <c r="K198" s="94"/>
      <c r="L198" s="95"/>
      <c r="M198" s="60" t="e">
        <f>CONCATENATE(#REF!,G198)</f>
        <v>#REF!</v>
      </c>
      <c r="N198" s="60" t="str">
        <f t="shared" si="10"/>
        <v/>
      </c>
      <c r="O198" s="61" t="str">
        <f t="shared" si="13"/>
        <v>-</v>
      </c>
      <c r="P198" s="61"/>
      <c r="Q198" s="61"/>
      <c r="R198" s="61"/>
      <c r="S198" s="61"/>
      <c r="T198" s="61"/>
    </row>
    <row r="199" spans="1:76" s="62" customFormat="1" ht="35.1" customHeight="1">
      <c r="A199" s="63"/>
      <c r="B199" s="83"/>
      <c r="C199" s="65"/>
      <c r="D199" s="65"/>
      <c r="E199" s="65"/>
      <c r="F199" s="65"/>
      <c r="G199" s="65"/>
      <c r="H199" s="65"/>
      <c r="I199" s="44"/>
      <c r="J199" s="44">
        <v>0</v>
      </c>
      <c r="K199" s="44">
        <v>0</v>
      </c>
      <c r="L199" s="17"/>
      <c r="M199" s="60" t="e">
        <f>CONCATENATE(#REF!,G199)</f>
        <v>#REF!</v>
      </c>
      <c r="N199" s="60" t="str">
        <f t="shared" ref="N199:N259" si="14">CONCATENATE(C199,G199)</f>
        <v/>
      </c>
      <c r="O199" s="61" t="str">
        <f t="shared" si="13"/>
        <v>-</v>
      </c>
      <c r="P199" s="61"/>
      <c r="Q199" s="61"/>
      <c r="R199" s="61"/>
      <c r="S199" s="61"/>
      <c r="T199" s="61"/>
    </row>
    <row r="200" spans="1:76" s="62" customFormat="1" ht="35.1" customHeight="1">
      <c r="A200" s="63"/>
      <c r="B200" s="84"/>
      <c r="C200" s="65"/>
      <c r="D200" s="65"/>
      <c r="E200" s="65"/>
      <c r="F200" s="65"/>
      <c r="G200" s="65"/>
      <c r="H200" s="65"/>
      <c r="I200" s="44"/>
      <c r="J200" s="44">
        <v>0</v>
      </c>
      <c r="K200" s="44">
        <v>0</v>
      </c>
      <c r="L200" s="17"/>
      <c r="M200" s="60" t="e">
        <f>CONCATENATE(#REF!,G200)</f>
        <v>#REF!</v>
      </c>
      <c r="N200" s="60" t="str">
        <f t="shared" si="14"/>
        <v/>
      </c>
      <c r="O200" s="61" t="str">
        <f t="shared" si="13"/>
        <v>-</v>
      </c>
      <c r="P200" s="61"/>
      <c r="Q200" s="61"/>
      <c r="R200" s="61"/>
      <c r="S200" s="61"/>
      <c r="T200" s="61"/>
    </row>
    <row r="201" spans="1:76" s="62" customFormat="1" ht="35.1" customHeight="1">
      <c r="A201" s="63"/>
      <c r="B201" s="89"/>
      <c r="C201" s="65"/>
      <c r="D201" s="65"/>
      <c r="E201" s="65"/>
      <c r="F201" s="65"/>
      <c r="G201" s="65"/>
      <c r="H201" s="65"/>
      <c r="I201" s="44"/>
      <c r="J201" s="44">
        <v>0</v>
      </c>
      <c r="K201" s="44">
        <v>0</v>
      </c>
      <c r="L201" s="17"/>
      <c r="M201" s="60" t="e">
        <f>CONCATENATE(#REF!,G201)</f>
        <v>#REF!</v>
      </c>
      <c r="N201" s="60" t="str">
        <f t="shared" si="14"/>
        <v/>
      </c>
      <c r="O201" s="61" t="str">
        <f t="shared" si="13"/>
        <v>-</v>
      </c>
      <c r="P201" s="61"/>
      <c r="Q201" s="61"/>
      <c r="R201" s="61"/>
      <c r="S201" s="61"/>
      <c r="T201" s="61"/>
    </row>
    <row r="202" spans="1:76" s="62" customFormat="1" ht="35.1" customHeight="1">
      <c r="A202" s="63"/>
      <c r="B202" s="89"/>
      <c r="C202" s="65"/>
      <c r="D202" s="65"/>
      <c r="E202" s="65"/>
      <c r="F202" s="65"/>
      <c r="G202" s="65"/>
      <c r="H202" s="65"/>
      <c r="I202" s="44"/>
      <c r="J202" s="44">
        <v>0</v>
      </c>
      <c r="K202" s="44">
        <v>0</v>
      </c>
      <c r="L202" s="17"/>
      <c r="M202" s="60" t="e">
        <f>CONCATENATE(#REF!,G202)</f>
        <v>#REF!</v>
      </c>
      <c r="N202" s="60" t="str">
        <f t="shared" si="14"/>
        <v/>
      </c>
      <c r="O202" s="61" t="str">
        <f t="shared" si="13"/>
        <v>-</v>
      </c>
      <c r="P202" s="61"/>
      <c r="Q202" s="61"/>
      <c r="R202" s="61"/>
      <c r="S202" s="61"/>
      <c r="T202" s="61"/>
    </row>
    <row r="203" spans="1:76" s="62" customFormat="1" ht="35.1" customHeight="1">
      <c r="A203" s="63"/>
      <c r="B203" s="89"/>
      <c r="C203" s="65"/>
      <c r="D203" s="65"/>
      <c r="E203" s="65"/>
      <c r="F203" s="65"/>
      <c r="G203" s="65"/>
      <c r="H203" s="65"/>
      <c r="I203" s="44"/>
      <c r="J203" s="44">
        <v>0</v>
      </c>
      <c r="K203" s="44">
        <v>0</v>
      </c>
      <c r="L203" s="17"/>
      <c r="M203" s="60" t="e">
        <f>CONCATENATE(#REF!,G203)</f>
        <v>#REF!</v>
      </c>
      <c r="N203" s="60" t="str">
        <f t="shared" si="14"/>
        <v/>
      </c>
      <c r="O203" s="61" t="str">
        <f t="shared" si="13"/>
        <v>-</v>
      </c>
      <c r="P203" s="61"/>
      <c r="Q203" s="61"/>
      <c r="R203" s="61"/>
      <c r="S203" s="61"/>
      <c r="T203" s="61"/>
    </row>
    <row r="204" spans="1:76" s="62" customFormat="1" ht="35.1" customHeight="1">
      <c r="A204" s="63"/>
      <c r="B204" s="89"/>
      <c r="C204" s="65"/>
      <c r="D204" s="65"/>
      <c r="E204" s="65"/>
      <c r="F204" s="65"/>
      <c r="G204" s="65"/>
      <c r="H204" s="65"/>
      <c r="I204" s="44"/>
      <c r="J204" s="44"/>
      <c r="K204" s="44"/>
      <c r="L204" s="17"/>
      <c r="M204" s="60" t="e">
        <f>CONCATENATE(#REF!,G204)</f>
        <v>#REF!</v>
      </c>
      <c r="N204" s="60" t="str">
        <f t="shared" si="14"/>
        <v/>
      </c>
      <c r="O204" s="61" t="str">
        <f t="shared" si="13"/>
        <v>-</v>
      </c>
      <c r="P204" s="61"/>
      <c r="Q204" s="61"/>
      <c r="R204" s="61"/>
      <c r="S204" s="61"/>
      <c r="T204" s="61"/>
    </row>
    <row r="205" spans="1:76" s="62" customFormat="1" ht="35.1" customHeight="1">
      <c r="A205" s="63"/>
      <c r="B205" s="89"/>
      <c r="C205" s="65"/>
      <c r="D205" s="65"/>
      <c r="E205" s="65"/>
      <c r="F205" s="65"/>
      <c r="G205" s="65"/>
      <c r="H205" s="65"/>
      <c r="I205" s="44"/>
      <c r="J205" s="44">
        <v>0</v>
      </c>
      <c r="K205" s="44">
        <v>0</v>
      </c>
      <c r="L205" s="17"/>
      <c r="M205" s="60" t="e">
        <f>CONCATENATE(#REF!,G205)</f>
        <v>#REF!</v>
      </c>
      <c r="N205" s="60" t="str">
        <f t="shared" si="14"/>
        <v/>
      </c>
      <c r="O205" s="61" t="str">
        <f t="shared" si="13"/>
        <v>-</v>
      </c>
      <c r="P205" s="61"/>
      <c r="Q205" s="61"/>
      <c r="R205" s="61"/>
      <c r="S205" s="61"/>
      <c r="T205" s="61"/>
    </row>
    <row r="206" spans="1:76" s="62" customFormat="1" ht="35.1" customHeight="1">
      <c r="A206" s="63"/>
      <c r="B206" s="89"/>
      <c r="C206" s="65"/>
      <c r="D206" s="65"/>
      <c r="E206" s="65"/>
      <c r="F206" s="65"/>
      <c r="G206" s="65"/>
      <c r="H206" s="65"/>
      <c r="I206" s="44"/>
      <c r="J206" s="44">
        <v>0</v>
      </c>
      <c r="K206" s="44">
        <v>0</v>
      </c>
      <c r="L206" s="17"/>
      <c r="M206" s="60" t="e">
        <f>CONCATENATE(#REF!,G206)</f>
        <v>#REF!</v>
      </c>
      <c r="N206" s="60" t="str">
        <f t="shared" si="14"/>
        <v/>
      </c>
      <c r="O206" s="61" t="str">
        <f t="shared" si="13"/>
        <v>-</v>
      </c>
      <c r="P206" s="61"/>
      <c r="Q206" s="61"/>
      <c r="R206" s="61"/>
      <c r="S206" s="61"/>
      <c r="T206" s="61"/>
    </row>
    <row r="207" spans="1:76" s="62" customFormat="1" ht="35.1" customHeight="1">
      <c r="A207" s="63"/>
      <c r="B207" s="89"/>
      <c r="C207" s="65"/>
      <c r="D207" s="65"/>
      <c r="E207" s="65"/>
      <c r="F207" s="65"/>
      <c r="G207" s="65"/>
      <c r="H207" s="65"/>
      <c r="I207" s="44"/>
      <c r="J207" s="44">
        <v>0</v>
      </c>
      <c r="K207" s="44">
        <v>0</v>
      </c>
      <c r="L207" s="17"/>
      <c r="M207" s="60" t="e">
        <f>CONCATENATE(#REF!,G207)</f>
        <v>#REF!</v>
      </c>
      <c r="N207" s="60" t="str">
        <f t="shared" si="14"/>
        <v/>
      </c>
      <c r="O207" s="61" t="str">
        <f t="shared" si="13"/>
        <v>-</v>
      </c>
      <c r="P207" s="61"/>
      <c r="Q207" s="61"/>
      <c r="R207" s="61"/>
      <c r="S207" s="61"/>
      <c r="T207" s="61"/>
    </row>
    <row r="208" spans="1:76" s="62" customFormat="1" ht="35.1" customHeight="1">
      <c r="A208" s="63"/>
      <c r="B208" s="64"/>
      <c r="C208" s="65"/>
      <c r="D208" s="65"/>
      <c r="E208" s="65"/>
      <c r="F208" s="65"/>
      <c r="G208" s="65"/>
      <c r="H208" s="65"/>
      <c r="I208" s="44"/>
      <c r="J208" s="44"/>
      <c r="K208" s="44"/>
      <c r="L208" s="17"/>
      <c r="M208" s="60" t="e">
        <f>CONCATENATE(#REF!,G208)</f>
        <v>#REF!</v>
      </c>
      <c r="N208" s="60" t="str">
        <f t="shared" si="14"/>
        <v/>
      </c>
      <c r="O208" s="61" t="str">
        <f t="shared" si="13"/>
        <v>-</v>
      </c>
      <c r="P208" s="61"/>
      <c r="Q208" s="61"/>
      <c r="R208" s="61"/>
      <c r="S208" s="61"/>
      <c r="T208" s="61"/>
    </row>
    <row r="209" spans="1:76" s="62" customFormat="1" ht="35.1" customHeight="1">
      <c r="A209" s="63"/>
      <c r="B209" s="64"/>
      <c r="C209" s="65"/>
      <c r="D209" s="65"/>
      <c r="E209" s="65"/>
      <c r="F209" s="65"/>
      <c r="G209" s="65"/>
      <c r="H209" s="65"/>
      <c r="I209" s="44"/>
      <c r="J209" s="44"/>
      <c r="K209" s="44"/>
      <c r="L209" s="17"/>
      <c r="M209" s="60" t="e">
        <f>CONCATENATE(#REF!,G209)</f>
        <v>#REF!</v>
      </c>
      <c r="N209" s="60" t="str">
        <f t="shared" si="14"/>
        <v/>
      </c>
      <c r="O209" s="61" t="str">
        <f t="shared" si="13"/>
        <v>-</v>
      </c>
      <c r="P209" s="61"/>
      <c r="Q209" s="61"/>
      <c r="R209" s="61"/>
      <c r="S209" s="61"/>
      <c r="T209" s="61"/>
    </row>
    <row r="210" spans="1:76" s="62" customFormat="1" ht="35.1" customHeight="1">
      <c r="A210" s="63"/>
      <c r="B210" s="64"/>
      <c r="C210" s="65"/>
      <c r="D210" s="65"/>
      <c r="E210" s="65"/>
      <c r="F210" s="65"/>
      <c r="G210" s="65"/>
      <c r="H210" s="65"/>
      <c r="I210" s="44"/>
      <c r="J210" s="44"/>
      <c r="K210" s="44"/>
      <c r="L210" s="17"/>
      <c r="M210" s="60" t="e">
        <f>CONCATENATE(#REF!,G210)</f>
        <v>#REF!</v>
      </c>
      <c r="N210" s="60" t="str">
        <f t="shared" si="14"/>
        <v/>
      </c>
      <c r="O210" s="61" t="str">
        <f t="shared" si="13"/>
        <v>-</v>
      </c>
      <c r="P210" s="61"/>
      <c r="Q210" s="61"/>
      <c r="R210" s="61"/>
      <c r="S210" s="61"/>
      <c r="T210" s="61"/>
    </row>
    <row r="211" spans="1:76" s="62" customFormat="1" ht="35.1" customHeight="1">
      <c r="A211" s="63"/>
      <c r="B211" s="64"/>
      <c r="C211" s="65"/>
      <c r="D211" s="65"/>
      <c r="E211" s="65"/>
      <c r="F211" s="65"/>
      <c r="G211" s="65"/>
      <c r="H211" s="65"/>
      <c r="I211" s="44"/>
      <c r="J211" s="44"/>
      <c r="K211" s="44"/>
      <c r="L211" s="17"/>
      <c r="M211" s="60" t="e">
        <f>CONCATENATE(#REF!,G211)</f>
        <v>#REF!</v>
      </c>
      <c r="N211" s="60" t="str">
        <f t="shared" si="14"/>
        <v/>
      </c>
      <c r="O211" s="61" t="str">
        <f t="shared" si="13"/>
        <v>-</v>
      </c>
      <c r="P211" s="61"/>
      <c r="Q211" s="61"/>
      <c r="R211" s="61"/>
      <c r="S211" s="61"/>
      <c r="T211" s="61"/>
    </row>
    <row r="212" spans="1:76" s="62" customFormat="1" ht="35.1" customHeight="1">
      <c r="A212" s="63"/>
      <c r="B212" s="64"/>
      <c r="C212" s="65"/>
      <c r="D212" s="65"/>
      <c r="E212" s="65"/>
      <c r="F212" s="65"/>
      <c r="G212" s="65"/>
      <c r="H212" s="65"/>
      <c r="I212" s="44"/>
      <c r="J212" s="44"/>
      <c r="K212" s="44"/>
      <c r="L212" s="17"/>
      <c r="M212" s="60" t="e">
        <f>CONCATENATE(#REF!,G212)</f>
        <v>#REF!</v>
      </c>
      <c r="N212" s="60" t="str">
        <f t="shared" si="14"/>
        <v/>
      </c>
      <c r="O212" s="61" t="str">
        <f t="shared" si="13"/>
        <v>-</v>
      </c>
      <c r="P212" s="61"/>
      <c r="Q212" s="61"/>
      <c r="R212" s="61"/>
      <c r="S212" s="61"/>
      <c r="T212" s="61"/>
    </row>
    <row r="213" spans="1:76" s="62" customFormat="1" ht="35.1" customHeight="1">
      <c r="A213" s="63"/>
      <c r="B213" s="64"/>
      <c r="C213" s="65"/>
      <c r="D213" s="65"/>
      <c r="E213" s="65"/>
      <c r="F213" s="65"/>
      <c r="G213" s="65"/>
      <c r="H213" s="65"/>
      <c r="I213" s="44"/>
      <c r="J213" s="44"/>
      <c r="K213" s="44"/>
      <c r="L213" s="17"/>
      <c r="M213" s="60" t="e">
        <f>CONCATENATE(#REF!,G213)</f>
        <v>#REF!</v>
      </c>
      <c r="N213" s="60" t="str">
        <f t="shared" si="14"/>
        <v/>
      </c>
      <c r="O213" s="61" t="str">
        <f t="shared" si="13"/>
        <v>-</v>
      </c>
      <c r="P213" s="61"/>
      <c r="Q213" s="61"/>
      <c r="R213" s="61"/>
      <c r="S213" s="61"/>
      <c r="T213" s="61"/>
    </row>
    <row r="214" spans="1:76" s="62" customFormat="1" ht="35.1" customHeight="1">
      <c r="A214" s="63"/>
      <c r="B214" s="64"/>
      <c r="C214" s="65"/>
      <c r="D214" s="65"/>
      <c r="E214" s="65"/>
      <c r="F214" s="65"/>
      <c r="G214" s="65"/>
      <c r="H214" s="65"/>
      <c r="I214" s="44"/>
      <c r="J214" s="44"/>
      <c r="K214" s="44"/>
      <c r="L214" s="17"/>
      <c r="M214" s="60" t="e">
        <f>CONCATENATE(#REF!,G214)</f>
        <v>#REF!</v>
      </c>
      <c r="N214" s="60" t="str">
        <f t="shared" si="14"/>
        <v/>
      </c>
      <c r="O214" s="61" t="str">
        <f t="shared" si="13"/>
        <v>-</v>
      </c>
      <c r="P214" s="61"/>
      <c r="Q214" s="61"/>
      <c r="R214" s="61"/>
      <c r="S214" s="61"/>
      <c r="T214" s="61"/>
    </row>
    <row r="215" spans="1:76" s="62" customFormat="1" ht="35.1" customHeight="1">
      <c r="A215" s="63"/>
      <c r="B215" s="64"/>
      <c r="C215" s="65"/>
      <c r="D215" s="65"/>
      <c r="E215" s="65"/>
      <c r="F215" s="65"/>
      <c r="G215" s="65"/>
      <c r="H215" s="65"/>
      <c r="I215" s="44"/>
      <c r="J215" s="44"/>
      <c r="K215" s="44"/>
      <c r="L215" s="17"/>
      <c r="M215" s="60" t="e">
        <f>CONCATENATE(#REF!,G215)</f>
        <v>#REF!</v>
      </c>
      <c r="N215" s="60" t="str">
        <f t="shared" si="14"/>
        <v/>
      </c>
      <c r="O215" s="61" t="str">
        <f t="shared" si="13"/>
        <v>-</v>
      </c>
      <c r="P215" s="61"/>
      <c r="Q215" s="61"/>
      <c r="R215" s="61"/>
      <c r="S215" s="61"/>
      <c r="T215" s="61"/>
    </row>
    <row r="216" spans="1:76" s="62" customFormat="1" ht="35.1" customHeight="1">
      <c r="A216" s="63"/>
      <c r="B216" s="64"/>
      <c r="C216" s="65"/>
      <c r="D216" s="65"/>
      <c r="E216" s="65"/>
      <c r="F216" s="65"/>
      <c r="G216" s="65"/>
      <c r="H216" s="65"/>
      <c r="I216" s="44"/>
      <c r="J216" s="44"/>
      <c r="K216" s="44"/>
      <c r="L216" s="17"/>
      <c r="M216" s="60" t="e">
        <f>CONCATENATE(#REF!,G216)</f>
        <v>#REF!</v>
      </c>
      <c r="N216" s="60" t="str">
        <f t="shared" si="14"/>
        <v/>
      </c>
      <c r="O216" s="61" t="str">
        <f t="shared" si="13"/>
        <v>-</v>
      </c>
      <c r="P216" s="61"/>
      <c r="Q216" s="61"/>
      <c r="R216" s="61"/>
      <c r="S216" s="61"/>
      <c r="T216" s="61"/>
    </row>
    <row r="217" spans="1:76" s="73" customFormat="1" ht="35.1" customHeight="1">
      <c r="A217" s="66" t="s">
        <v>41</v>
      </c>
      <c r="B217" s="67"/>
      <c r="C217" s="68"/>
      <c r="D217" s="69"/>
      <c r="E217" s="69"/>
      <c r="F217" s="69">
        <f>SUM(F197:F216)</f>
        <v>0</v>
      </c>
      <c r="G217" s="70"/>
      <c r="H217" s="70"/>
      <c r="I217" s="70"/>
      <c r="J217" s="70"/>
      <c r="K217" s="70"/>
      <c r="L217" s="71"/>
      <c r="M217" s="60" t="e">
        <f>CONCATENATE(#REF!,G217)</f>
        <v>#REF!</v>
      </c>
      <c r="N217" s="60" t="str">
        <f t="shared" si="14"/>
        <v/>
      </c>
      <c r="O217" s="61"/>
      <c r="P217" s="61"/>
      <c r="Q217" s="61"/>
      <c r="R217" s="61"/>
      <c r="S217" s="61"/>
      <c r="T217" s="61"/>
      <c r="U217" s="72"/>
      <c r="V217" s="72"/>
      <c r="W217" s="72"/>
      <c r="X217" s="72"/>
      <c r="Y217" s="72"/>
      <c r="Z217" s="72"/>
      <c r="AA217" s="72"/>
      <c r="AB217" s="72"/>
      <c r="AC217" s="72"/>
      <c r="AD217" s="72"/>
      <c r="AE217" s="72"/>
      <c r="AF217" s="72"/>
      <c r="AG217" s="72"/>
      <c r="AH217" s="72"/>
      <c r="AI217" s="72"/>
      <c r="AJ217" s="72"/>
      <c r="AK217" s="72"/>
      <c r="AL217" s="72"/>
      <c r="AM217" s="72"/>
      <c r="AN217" s="72"/>
      <c r="AO217" s="72"/>
      <c r="AP217" s="72"/>
      <c r="AQ217" s="72"/>
      <c r="AR217" s="72"/>
      <c r="AS217" s="72"/>
      <c r="AT217" s="72"/>
      <c r="AU217" s="72"/>
      <c r="AV217" s="72"/>
      <c r="AW217" s="72"/>
      <c r="AX217" s="72"/>
      <c r="AY217" s="72"/>
      <c r="AZ217" s="72"/>
      <c r="BA217" s="72"/>
      <c r="BB217" s="72"/>
      <c r="BC217" s="72"/>
      <c r="BD217" s="72"/>
      <c r="BE217" s="72"/>
      <c r="BF217" s="72"/>
      <c r="BG217" s="72"/>
      <c r="BH217" s="72"/>
      <c r="BI217" s="72"/>
      <c r="BJ217" s="72"/>
      <c r="BK217" s="72"/>
      <c r="BL217" s="72"/>
      <c r="BM217" s="72"/>
      <c r="BN217" s="72"/>
      <c r="BO217" s="72"/>
      <c r="BP217" s="72"/>
      <c r="BQ217" s="72"/>
      <c r="BR217" s="72"/>
      <c r="BS217" s="72"/>
      <c r="BT217" s="72"/>
      <c r="BU217" s="72"/>
      <c r="BV217" s="72"/>
      <c r="BW217" s="72"/>
      <c r="BX217" s="72"/>
    </row>
    <row r="218" spans="1:76" s="62" customFormat="1" ht="35.1" customHeight="1">
      <c r="A218" s="58"/>
      <c r="B218" s="82"/>
      <c r="C218" s="59"/>
      <c r="D218" s="59"/>
      <c r="E218" s="59"/>
      <c r="F218" s="59"/>
      <c r="G218" s="59"/>
      <c r="H218" s="59"/>
      <c r="I218" s="43"/>
      <c r="J218" s="43"/>
      <c r="K218" s="43"/>
      <c r="L218" s="16"/>
      <c r="M218" s="60" t="e">
        <f>CONCATENATE(#REF!,G218)</f>
        <v>#REF!</v>
      </c>
      <c r="N218" s="60" t="str">
        <f t="shared" si="14"/>
        <v/>
      </c>
      <c r="O218" s="61" t="str">
        <f t="shared" ref="O218:O237" si="15">IF(D218&gt;=F218,"-","err")</f>
        <v>-</v>
      </c>
      <c r="P218" s="61"/>
      <c r="Q218" s="61"/>
      <c r="R218" s="61"/>
      <c r="S218" s="61"/>
      <c r="T218" s="61"/>
    </row>
    <row r="219" spans="1:76" s="62" customFormat="1" ht="35.1" customHeight="1">
      <c r="A219" s="92"/>
      <c r="B219" s="96"/>
      <c r="C219" s="93"/>
      <c r="D219" s="93"/>
      <c r="E219" s="93"/>
      <c r="F219" s="93"/>
      <c r="G219" s="93"/>
      <c r="H219" s="93"/>
      <c r="I219" s="94"/>
      <c r="J219" s="94"/>
      <c r="K219" s="94"/>
      <c r="L219" s="95"/>
      <c r="M219" s="60" t="e">
        <f>CONCATENATE(#REF!,G219)</f>
        <v>#REF!</v>
      </c>
      <c r="N219" s="60" t="str">
        <f t="shared" si="14"/>
        <v/>
      </c>
      <c r="O219" s="61" t="str">
        <f t="shared" si="15"/>
        <v>-</v>
      </c>
      <c r="P219" s="61"/>
      <c r="Q219" s="61"/>
      <c r="R219" s="61"/>
      <c r="S219" s="61"/>
      <c r="T219" s="61"/>
    </row>
    <row r="220" spans="1:76" s="62" customFormat="1" ht="35.1" customHeight="1">
      <c r="A220" s="63"/>
      <c r="B220" s="83"/>
      <c r="C220" s="65"/>
      <c r="D220" s="65"/>
      <c r="E220" s="65"/>
      <c r="F220" s="65"/>
      <c r="G220" s="65"/>
      <c r="H220" s="65"/>
      <c r="I220" s="44">
        <v>0</v>
      </c>
      <c r="J220" s="44">
        <v>0</v>
      </c>
      <c r="K220" s="44">
        <v>0</v>
      </c>
      <c r="L220" s="17"/>
      <c r="M220" s="60" t="e">
        <f>CONCATENATE(#REF!,G220)</f>
        <v>#REF!</v>
      </c>
      <c r="N220" s="60" t="str">
        <f t="shared" si="14"/>
        <v/>
      </c>
      <c r="O220" s="61" t="str">
        <f t="shared" si="15"/>
        <v>-</v>
      </c>
      <c r="P220" s="61"/>
      <c r="Q220" s="61"/>
      <c r="R220" s="61"/>
      <c r="S220" s="61"/>
      <c r="T220" s="61"/>
    </row>
    <row r="221" spans="1:76" s="62" customFormat="1" ht="35.1" customHeight="1">
      <c r="A221" s="63"/>
      <c r="B221" s="84"/>
      <c r="C221" s="65"/>
      <c r="D221" s="65"/>
      <c r="E221" s="65"/>
      <c r="F221" s="65"/>
      <c r="G221" s="65"/>
      <c r="H221" s="65"/>
      <c r="I221" s="44">
        <v>0</v>
      </c>
      <c r="J221" s="44">
        <v>0</v>
      </c>
      <c r="K221" s="44">
        <v>0</v>
      </c>
      <c r="L221" s="17"/>
      <c r="M221" s="60" t="e">
        <f>CONCATENATE(#REF!,G221)</f>
        <v>#REF!</v>
      </c>
      <c r="N221" s="60" t="str">
        <f t="shared" si="14"/>
        <v/>
      </c>
      <c r="O221" s="61" t="str">
        <f t="shared" si="15"/>
        <v>-</v>
      </c>
      <c r="P221" s="61"/>
      <c r="Q221" s="61"/>
      <c r="R221" s="61"/>
      <c r="S221" s="61"/>
      <c r="T221" s="61"/>
    </row>
    <row r="222" spans="1:76" s="62" customFormat="1" ht="35.1" customHeight="1">
      <c r="A222" s="63"/>
      <c r="B222" s="89"/>
      <c r="C222" s="65"/>
      <c r="D222" s="65"/>
      <c r="E222" s="65"/>
      <c r="F222" s="65"/>
      <c r="G222" s="65"/>
      <c r="H222" s="65"/>
      <c r="I222" s="44">
        <v>0</v>
      </c>
      <c r="J222" s="44">
        <v>0</v>
      </c>
      <c r="K222" s="44">
        <v>0</v>
      </c>
      <c r="L222" s="17"/>
      <c r="M222" s="60" t="e">
        <f>CONCATENATE(#REF!,G222)</f>
        <v>#REF!</v>
      </c>
      <c r="N222" s="60" t="str">
        <f t="shared" si="14"/>
        <v/>
      </c>
      <c r="O222" s="61" t="str">
        <f t="shared" si="15"/>
        <v>-</v>
      </c>
      <c r="P222" s="61"/>
      <c r="Q222" s="61"/>
      <c r="R222" s="61"/>
      <c r="S222" s="61"/>
      <c r="T222" s="61"/>
    </row>
    <row r="223" spans="1:76" s="62" customFormat="1" ht="35.1" customHeight="1">
      <c r="A223" s="63"/>
      <c r="B223" s="89"/>
      <c r="C223" s="65"/>
      <c r="D223" s="65"/>
      <c r="E223" s="65"/>
      <c r="F223" s="65"/>
      <c r="G223" s="65"/>
      <c r="H223" s="65"/>
      <c r="I223" s="44">
        <v>0</v>
      </c>
      <c r="J223" s="44">
        <v>0</v>
      </c>
      <c r="K223" s="44">
        <v>0</v>
      </c>
      <c r="L223" s="17"/>
      <c r="M223" s="60" t="e">
        <f>CONCATENATE(#REF!,G223)</f>
        <v>#REF!</v>
      </c>
      <c r="N223" s="60" t="str">
        <f t="shared" si="14"/>
        <v/>
      </c>
      <c r="O223" s="61" t="str">
        <f t="shared" si="15"/>
        <v>-</v>
      </c>
      <c r="P223" s="61"/>
      <c r="Q223" s="61"/>
      <c r="R223" s="61"/>
      <c r="S223" s="61"/>
      <c r="T223" s="61"/>
    </row>
    <row r="224" spans="1:76" s="62" customFormat="1" ht="35.1" customHeight="1">
      <c r="A224" s="63"/>
      <c r="B224" s="89"/>
      <c r="C224" s="65"/>
      <c r="D224" s="65"/>
      <c r="E224" s="65"/>
      <c r="F224" s="65"/>
      <c r="G224" s="65"/>
      <c r="H224" s="65"/>
      <c r="I224" s="44"/>
      <c r="J224" s="44"/>
      <c r="K224" s="44"/>
      <c r="L224" s="17"/>
      <c r="M224" s="60" t="e">
        <f>CONCATENATE(#REF!,G224)</f>
        <v>#REF!</v>
      </c>
      <c r="N224" s="60" t="str">
        <f t="shared" si="14"/>
        <v/>
      </c>
      <c r="O224" s="61" t="str">
        <f t="shared" si="15"/>
        <v>-</v>
      </c>
      <c r="P224" s="61"/>
      <c r="Q224" s="61"/>
      <c r="R224" s="61"/>
      <c r="S224" s="61"/>
      <c r="T224" s="61"/>
    </row>
    <row r="225" spans="1:76" s="62" customFormat="1" ht="35.1" customHeight="1">
      <c r="A225" s="63"/>
      <c r="B225" s="89"/>
      <c r="C225" s="65"/>
      <c r="D225" s="65"/>
      <c r="E225" s="65"/>
      <c r="F225" s="65"/>
      <c r="G225" s="65"/>
      <c r="H225" s="65"/>
      <c r="I225" s="44"/>
      <c r="J225" s="44"/>
      <c r="K225" s="44"/>
      <c r="L225" s="17"/>
      <c r="M225" s="60" t="e">
        <f>CONCATENATE(#REF!,G225)</f>
        <v>#REF!</v>
      </c>
      <c r="N225" s="60" t="str">
        <f t="shared" si="14"/>
        <v/>
      </c>
      <c r="O225" s="61" t="str">
        <f t="shared" si="15"/>
        <v>-</v>
      </c>
      <c r="P225" s="61"/>
      <c r="Q225" s="61"/>
      <c r="R225" s="61"/>
      <c r="S225" s="61"/>
      <c r="T225" s="61"/>
    </row>
    <row r="226" spans="1:76" s="62" customFormat="1" ht="35.1" customHeight="1">
      <c r="A226" s="63"/>
      <c r="B226" s="89"/>
      <c r="C226" s="65"/>
      <c r="D226" s="65"/>
      <c r="E226" s="65"/>
      <c r="F226" s="65"/>
      <c r="G226" s="65"/>
      <c r="H226" s="65"/>
      <c r="I226" s="44"/>
      <c r="J226" s="44"/>
      <c r="K226" s="44"/>
      <c r="L226" s="17"/>
      <c r="M226" s="60" t="e">
        <f>CONCATENATE(#REF!,G226)</f>
        <v>#REF!</v>
      </c>
      <c r="N226" s="60" t="str">
        <f t="shared" si="14"/>
        <v/>
      </c>
      <c r="O226" s="61" t="str">
        <f t="shared" si="15"/>
        <v>-</v>
      </c>
      <c r="P226" s="61"/>
      <c r="Q226" s="61"/>
      <c r="R226" s="61"/>
      <c r="S226" s="61"/>
      <c r="T226" s="61"/>
    </row>
    <row r="227" spans="1:76" s="62" customFormat="1" ht="35.1" customHeight="1">
      <c r="A227" s="63"/>
      <c r="B227" s="89"/>
      <c r="C227" s="65"/>
      <c r="D227" s="65"/>
      <c r="E227" s="65"/>
      <c r="F227" s="65"/>
      <c r="G227" s="65"/>
      <c r="H227" s="65"/>
      <c r="I227" s="44">
        <v>0</v>
      </c>
      <c r="J227" s="44">
        <v>0</v>
      </c>
      <c r="K227" s="44">
        <v>0</v>
      </c>
      <c r="L227" s="17"/>
      <c r="M227" s="60" t="e">
        <f>CONCATENATE(#REF!,G227)</f>
        <v>#REF!</v>
      </c>
      <c r="N227" s="60" t="str">
        <f t="shared" si="14"/>
        <v/>
      </c>
      <c r="O227" s="61" t="str">
        <f t="shared" si="15"/>
        <v>-</v>
      </c>
      <c r="P227" s="61"/>
      <c r="Q227" s="61"/>
      <c r="R227" s="61"/>
      <c r="S227" s="61"/>
      <c r="T227" s="61"/>
    </row>
    <row r="228" spans="1:76" s="62" customFormat="1" ht="35.1" customHeight="1">
      <c r="A228" s="63"/>
      <c r="B228" s="89"/>
      <c r="C228" s="65"/>
      <c r="D228" s="65"/>
      <c r="E228" s="65"/>
      <c r="F228" s="65"/>
      <c r="G228" s="65"/>
      <c r="H228" s="65"/>
      <c r="I228" s="44">
        <v>0</v>
      </c>
      <c r="J228" s="44">
        <v>0</v>
      </c>
      <c r="K228" s="44">
        <v>0</v>
      </c>
      <c r="L228" s="17"/>
      <c r="M228" s="60" t="e">
        <f>CONCATENATE(#REF!,G228)</f>
        <v>#REF!</v>
      </c>
      <c r="N228" s="60" t="str">
        <f t="shared" si="14"/>
        <v/>
      </c>
      <c r="O228" s="61" t="str">
        <f t="shared" si="15"/>
        <v>-</v>
      </c>
      <c r="P228" s="61"/>
      <c r="Q228" s="61"/>
      <c r="R228" s="61"/>
      <c r="S228" s="61"/>
      <c r="T228" s="61"/>
    </row>
    <row r="229" spans="1:76" s="62" customFormat="1" ht="35.1" customHeight="1">
      <c r="A229" s="63"/>
      <c r="B229" s="64"/>
      <c r="C229" s="65"/>
      <c r="D229" s="65"/>
      <c r="E229" s="65"/>
      <c r="F229" s="65"/>
      <c r="G229" s="65"/>
      <c r="H229" s="65"/>
      <c r="I229" s="44"/>
      <c r="J229" s="44"/>
      <c r="K229" s="44"/>
      <c r="L229" s="17"/>
      <c r="M229" s="60" t="e">
        <f>CONCATENATE(#REF!,G229)</f>
        <v>#REF!</v>
      </c>
      <c r="N229" s="60" t="str">
        <f t="shared" si="14"/>
        <v/>
      </c>
      <c r="O229" s="61" t="str">
        <f t="shared" si="15"/>
        <v>-</v>
      </c>
      <c r="P229" s="61"/>
      <c r="Q229" s="61"/>
      <c r="R229" s="61"/>
      <c r="S229" s="61"/>
      <c r="T229" s="61"/>
    </row>
    <row r="230" spans="1:76" s="62" customFormat="1" ht="35.1" customHeight="1">
      <c r="A230" s="63"/>
      <c r="B230" s="64"/>
      <c r="C230" s="65"/>
      <c r="D230" s="65"/>
      <c r="E230" s="65"/>
      <c r="F230" s="65"/>
      <c r="G230" s="65"/>
      <c r="H230" s="65"/>
      <c r="I230" s="44"/>
      <c r="J230" s="44"/>
      <c r="K230" s="44"/>
      <c r="L230" s="17"/>
      <c r="M230" s="60" t="e">
        <f>CONCATENATE(#REF!,G230)</f>
        <v>#REF!</v>
      </c>
      <c r="N230" s="60" t="str">
        <f t="shared" si="14"/>
        <v/>
      </c>
      <c r="O230" s="61" t="str">
        <f t="shared" si="15"/>
        <v>-</v>
      </c>
      <c r="P230" s="61"/>
      <c r="Q230" s="61"/>
      <c r="R230" s="61"/>
      <c r="S230" s="61"/>
      <c r="T230" s="61"/>
    </row>
    <row r="231" spans="1:76" s="62" customFormat="1" ht="35.1" customHeight="1">
      <c r="A231" s="63"/>
      <c r="B231" s="64"/>
      <c r="C231" s="65"/>
      <c r="D231" s="65"/>
      <c r="E231" s="65"/>
      <c r="F231" s="65"/>
      <c r="G231" s="65"/>
      <c r="H231" s="65"/>
      <c r="I231" s="44"/>
      <c r="J231" s="44"/>
      <c r="K231" s="44"/>
      <c r="L231" s="17"/>
      <c r="M231" s="60" t="e">
        <f>CONCATENATE(#REF!,G231)</f>
        <v>#REF!</v>
      </c>
      <c r="N231" s="60" t="str">
        <f t="shared" si="14"/>
        <v/>
      </c>
      <c r="O231" s="61" t="str">
        <f t="shared" si="15"/>
        <v>-</v>
      </c>
      <c r="P231" s="61"/>
      <c r="Q231" s="61"/>
      <c r="R231" s="61"/>
      <c r="S231" s="61"/>
      <c r="T231" s="61"/>
    </row>
    <row r="232" spans="1:76" s="62" customFormat="1" ht="35.1" customHeight="1">
      <c r="A232" s="63"/>
      <c r="B232" s="64"/>
      <c r="C232" s="65"/>
      <c r="D232" s="65"/>
      <c r="E232" s="65"/>
      <c r="F232" s="65"/>
      <c r="G232" s="65"/>
      <c r="H232" s="65"/>
      <c r="I232" s="44"/>
      <c r="J232" s="44"/>
      <c r="K232" s="44"/>
      <c r="L232" s="17"/>
      <c r="M232" s="60" t="e">
        <f>CONCATENATE(#REF!,G232)</f>
        <v>#REF!</v>
      </c>
      <c r="N232" s="60" t="str">
        <f t="shared" si="14"/>
        <v/>
      </c>
      <c r="O232" s="61" t="str">
        <f t="shared" si="15"/>
        <v>-</v>
      </c>
      <c r="P232" s="61"/>
      <c r="Q232" s="61"/>
      <c r="R232" s="61"/>
      <c r="S232" s="61"/>
      <c r="T232" s="61"/>
    </row>
    <row r="233" spans="1:76" s="62" customFormat="1" ht="35.1" customHeight="1">
      <c r="A233" s="63"/>
      <c r="B233" s="64"/>
      <c r="C233" s="65"/>
      <c r="D233" s="65"/>
      <c r="E233" s="65"/>
      <c r="F233" s="65"/>
      <c r="G233" s="65"/>
      <c r="H233" s="65"/>
      <c r="I233" s="44"/>
      <c r="J233" s="44"/>
      <c r="K233" s="44"/>
      <c r="L233" s="17"/>
      <c r="M233" s="60" t="e">
        <f>CONCATENATE(#REF!,G233)</f>
        <v>#REF!</v>
      </c>
      <c r="N233" s="60" t="str">
        <f t="shared" si="14"/>
        <v/>
      </c>
      <c r="O233" s="61" t="str">
        <f t="shared" si="15"/>
        <v>-</v>
      </c>
      <c r="P233" s="61"/>
      <c r="Q233" s="61"/>
      <c r="R233" s="61"/>
      <c r="S233" s="61"/>
      <c r="T233" s="61"/>
    </row>
    <row r="234" spans="1:76" s="62" customFormat="1" ht="35.1" customHeight="1">
      <c r="A234" s="63"/>
      <c r="B234" s="64"/>
      <c r="C234" s="65"/>
      <c r="D234" s="65"/>
      <c r="E234" s="65"/>
      <c r="F234" s="65"/>
      <c r="G234" s="65"/>
      <c r="H234" s="65"/>
      <c r="I234" s="44"/>
      <c r="J234" s="44"/>
      <c r="K234" s="44"/>
      <c r="L234" s="17"/>
      <c r="M234" s="60" t="e">
        <f>CONCATENATE(#REF!,G234)</f>
        <v>#REF!</v>
      </c>
      <c r="N234" s="60" t="str">
        <f t="shared" si="14"/>
        <v/>
      </c>
      <c r="O234" s="61" t="str">
        <f t="shared" si="15"/>
        <v>-</v>
      </c>
      <c r="P234" s="61"/>
      <c r="Q234" s="61"/>
      <c r="R234" s="61"/>
      <c r="S234" s="61"/>
      <c r="T234" s="61"/>
    </row>
    <row r="235" spans="1:76" s="62" customFormat="1" ht="35.1" customHeight="1">
      <c r="A235" s="63"/>
      <c r="B235" s="64"/>
      <c r="C235" s="65"/>
      <c r="D235" s="65"/>
      <c r="E235" s="65"/>
      <c r="F235" s="65"/>
      <c r="G235" s="65"/>
      <c r="H235" s="65"/>
      <c r="I235" s="44"/>
      <c r="J235" s="44"/>
      <c r="K235" s="44"/>
      <c r="L235" s="17"/>
      <c r="M235" s="60" t="e">
        <f>CONCATENATE(#REF!,G235)</f>
        <v>#REF!</v>
      </c>
      <c r="N235" s="60" t="str">
        <f t="shared" si="14"/>
        <v/>
      </c>
      <c r="O235" s="61" t="str">
        <f t="shared" si="15"/>
        <v>-</v>
      </c>
      <c r="P235" s="61"/>
      <c r="Q235" s="61"/>
      <c r="R235" s="61"/>
      <c r="S235" s="61"/>
      <c r="T235" s="61"/>
    </row>
    <row r="236" spans="1:76" s="62" customFormat="1" ht="35.1" customHeight="1">
      <c r="A236" s="63"/>
      <c r="B236" s="64"/>
      <c r="C236" s="65"/>
      <c r="D236" s="65"/>
      <c r="E236" s="65"/>
      <c r="F236" s="65"/>
      <c r="G236" s="65"/>
      <c r="H236" s="65"/>
      <c r="I236" s="44"/>
      <c r="J236" s="44"/>
      <c r="K236" s="44"/>
      <c r="L236" s="17"/>
      <c r="M236" s="60" t="e">
        <f>CONCATENATE(#REF!,G236)</f>
        <v>#REF!</v>
      </c>
      <c r="N236" s="60" t="str">
        <f t="shared" si="14"/>
        <v/>
      </c>
      <c r="O236" s="61" t="str">
        <f t="shared" si="15"/>
        <v>-</v>
      </c>
      <c r="P236" s="61"/>
      <c r="Q236" s="61"/>
      <c r="R236" s="61"/>
      <c r="S236" s="61"/>
      <c r="T236" s="61"/>
    </row>
    <row r="237" spans="1:76" s="62" customFormat="1" ht="35.1" customHeight="1">
      <c r="A237" s="63"/>
      <c r="B237" s="64"/>
      <c r="C237" s="65"/>
      <c r="D237" s="65"/>
      <c r="E237" s="65"/>
      <c r="F237" s="65"/>
      <c r="G237" s="65"/>
      <c r="H237" s="65"/>
      <c r="I237" s="44"/>
      <c r="J237" s="44"/>
      <c r="K237" s="44"/>
      <c r="L237" s="17"/>
      <c r="M237" s="60" t="e">
        <f>CONCATENATE(#REF!,G237)</f>
        <v>#REF!</v>
      </c>
      <c r="N237" s="60" t="str">
        <f t="shared" si="14"/>
        <v/>
      </c>
      <c r="O237" s="61" t="str">
        <f t="shared" si="15"/>
        <v>-</v>
      </c>
      <c r="P237" s="61"/>
      <c r="Q237" s="61"/>
      <c r="R237" s="61"/>
      <c r="S237" s="61"/>
      <c r="T237" s="61"/>
    </row>
    <row r="238" spans="1:76" s="73" customFormat="1" ht="35.1" customHeight="1">
      <c r="A238" s="66" t="s">
        <v>41</v>
      </c>
      <c r="B238" s="67"/>
      <c r="C238" s="68"/>
      <c r="D238" s="69"/>
      <c r="E238" s="69"/>
      <c r="F238" s="69">
        <f>SUM(F218:F237)</f>
        <v>0</v>
      </c>
      <c r="G238" s="70"/>
      <c r="H238" s="70"/>
      <c r="I238" s="70"/>
      <c r="J238" s="70"/>
      <c r="K238" s="70"/>
      <c r="L238" s="71"/>
      <c r="M238" s="60" t="e">
        <f>CONCATENATE(#REF!,G238)</f>
        <v>#REF!</v>
      </c>
      <c r="N238" s="60" t="str">
        <f t="shared" si="14"/>
        <v/>
      </c>
      <c r="O238" s="61"/>
      <c r="P238" s="61"/>
      <c r="Q238" s="61"/>
      <c r="R238" s="61"/>
      <c r="S238" s="61"/>
      <c r="T238" s="61"/>
      <c r="U238" s="72"/>
      <c r="V238" s="72"/>
      <c r="W238" s="72"/>
      <c r="X238" s="72"/>
      <c r="Y238" s="72"/>
      <c r="Z238" s="72"/>
      <c r="AA238" s="72"/>
      <c r="AB238" s="72"/>
      <c r="AC238" s="72"/>
      <c r="AD238" s="72"/>
      <c r="AE238" s="72"/>
      <c r="AF238" s="72"/>
      <c r="AG238" s="72"/>
      <c r="AH238" s="72"/>
      <c r="AI238" s="72"/>
      <c r="AJ238" s="72"/>
      <c r="AK238" s="72"/>
      <c r="AL238" s="72"/>
      <c r="AM238" s="72"/>
      <c r="AN238" s="72"/>
      <c r="AO238" s="72"/>
      <c r="AP238" s="72"/>
      <c r="AQ238" s="72"/>
      <c r="AR238" s="72"/>
      <c r="AS238" s="72"/>
      <c r="AT238" s="72"/>
      <c r="AU238" s="72"/>
      <c r="AV238" s="72"/>
      <c r="AW238" s="72"/>
      <c r="AX238" s="72"/>
      <c r="AY238" s="72"/>
      <c r="AZ238" s="72"/>
      <c r="BA238" s="72"/>
      <c r="BB238" s="72"/>
      <c r="BC238" s="72"/>
      <c r="BD238" s="72"/>
      <c r="BE238" s="72"/>
      <c r="BF238" s="72"/>
      <c r="BG238" s="72"/>
      <c r="BH238" s="72"/>
      <c r="BI238" s="72"/>
      <c r="BJ238" s="72"/>
      <c r="BK238" s="72"/>
      <c r="BL238" s="72"/>
      <c r="BM238" s="72"/>
      <c r="BN238" s="72"/>
      <c r="BO238" s="72"/>
      <c r="BP238" s="72"/>
      <c r="BQ238" s="72"/>
      <c r="BR238" s="72"/>
      <c r="BS238" s="72"/>
      <c r="BT238" s="72"/>
      <c r="BU238" s="72"/>
      <c r="BV238" s="72"/>
      <c r="BW238" s="72"/>
      <c r="BX238" s="72"/>
    </row>
    <row r="239" spans="1:76" s="62" customFormat="1" ht="35.1" customHeight="1">
      <c r="A239" s="58"/>
      <c r="B239" s="82"/>
      <c r="C239" s="59"/>
      <c r="D239" s="59"/>
      <c r="E239" s="59"/>
      <c r="F239" s="59"/>
      <c r="G239" s="59"/>
      <c r="H239" s="59"/>
      <c r="I239" s="43"/>
      <c r="J239" s="43"/>
      <c r="K239" s="43"/>
      <c r="L239" s="16"/>
      <c r="M239" s="60" t="e">
        <f>CONCATENATE(#REF!,G239)</f>
        <v>#REF!</v>
      </c>
      <c r="N239" s="60" t="str">
        <f t="shared" si="14"/>
        <v/>
      </c>
      <c r="O239" s="61" t="str">
        <f t="shared" ref="O239:O258" si="16">IF(D239&gt;=F239,"-","err")</f>
        <v>-</v>
      </c>
      <c r="P239" s="61"/>
      <c r="Q239" s="61"/>
      <c r="R239" s="61"/>
      <c r="S239" s="61"/>
      <c r="T239" s="61"/>
    </row>
    <row r="240" spans="1:76" s="62" customFormat="1" ht="35.1" customHeight="1">
      <c r="A240" s="92"/>
      <c r="B240" s="96"/>
      <c r="C240" s="93"/>
      <c r="D240" s="93"/>
      <c r="E240" s="93"/>
      <c r="F240" s="93"/>
      <c r="G240" s="93"/>
      <c r="H240" s="93"/>
      <c r="I240" s="94"/>
      <c r="J240" s="94"/>
      <c r="K240" s="94"/>
      <c r="L240" s="95"/>
      <c r="M240" s="60" t="e">
        <f>CONCATENATE(#REF!,G240)</f>
        <v>#REF!</v>
      </c>
      <c r="N240" s="60" t="str">
        <f t="shared" si="14"/>
        <v/>
      </c>
      <c r="O240" s="61" t="str">
        <f t="shared" si="16"/>
        <v>-</v>
      </c>
      <c r="P240" s="61"/>
      <c r="Q240" s="61"/>
      <c r="R240" s="61"/>
      <c r="S240" s="61"/>
      <c r="T240" s="61"/>
    </row>
    <row r="241" spans="1:20" s="62" customFormat="1" ht="35.1" customHeight="1">
      <c r="A241" s="63"/>
      <c r="B241" s="83"/>
      <c r="C241" s="65"/>
      <c r="D241" s="65"/>
      <c r="E241" s="65"/>
      <c r="F241" s="65"/>
      <c r="G241" s="65"/>
      <c r="H241" s="65"/>
      <c r="I241" s="44"/>
      <c r="J241" s="44">
        <v>0</v>
      </c>
      <c r="K241" s="44">
        <v>0</v>
      </c>
      <c r="L241" s="17"/>
      <c r="M241" s="60" t="e">
        <f>CONCATENATE(#REF!,G241)</f>
        <v>#REF!</v>
      </c>
      <c r="N241" s="60" t="str">
        <f t="shared" si="14"/>
        <v/>
      </c>
      <c r="O241" s="61" t="str">
        <f t="shared" si="16"/>
        <v>-</v>
      </c>
      <c r="P241" s="61"/>
      <c r="Q241" s="61"/>
      <c r="R241" s="61"/>
      <c r="S241" s="61"/>
      <c r="T241" s="61"/>
    </row>
    <row r="242" spans="1:20" s="62" customFormat="1" ht="35.1" customHeight="1">
      <c r="A242" s="63"/>
      <c r="B242" s="84"/>
      <c r="C242" s="65"/>
      <c r="D242" s="65"/>
      <c r="E242" s="65"/>
      <c r="F242" s="65"/>
      <c r="G242" s="65"/>
      <c r="H242" s="65"/>
      <c r="I242" s="44"/>
      <c r="J242" s="44">
        <v>0</v>
      </c>
      <c r="K242" s="44">
        <v>0</v>
      </c>
      <c r="L242" s="17"/>
      <c r="M242" s="60" t="e">
        <f>CONCATENATE(#REF!,G242)</f>
        <v>#REF!</v>
      </c>
      <c r="N242" s="60" t="str">
        <f t="shared" si="14"/>
        <v/>
      </c>
      <c r="O242" s="61" t="str">
        <f t="shared" si="16"/>
        <v>-</v>
      </c>
      <c r="P242" s="61"/>
      <c r="Q242" s="61"/>
      <c r="R242" s="61"/>
      <c r="S242" s="61"/>
      <c r="T242" s="61"/>
    </row>
    <row r="243" spans="1:20" s="62" customFormat="1" ht="35.1" customHeight="1">
      <c r="A243" s="63"/>
      <c r="B243" s="89"/>
      <c r="C243" s="65"/>
      <c r="D243" s="65"/>
      <c r="E243" s="65"/>
      <c r="F243" s="65"/>
      <c r="G243" s="65"/>
      <c r="H243" s="65"/>
      <c r="I243" s="44"/>
      <c r="J243" s="44">
        <v>0</v>
      </c>
      <c r="K243" s="44">
        <v>0</v>
      </c>
      <c r="L243" s="17"/>
      <c r="M243" s="60" t="e">
        <f>CONCATENATE(#REF!,G243)</f>
        <v>#REF!</v>
      </c>
      <c r="N243" s="60" t="str">
        <f t="shared" si="14"/>
        <v/>
      </c>
      <c r="O243" s="61" t="str">
        <f t="shared" si="16"/>
        <v>-</v>
      </c>
      <c r="P243" s="61"/>
      <c r="Q243" s="61"/>
      <c r="R243" s="61"/>
      <c r="S243" s="61"/>
      <c r="T243" s="61"/>
    </row>
    <row r="244" spans="1:20" s="62" customFormat="1" ht="35.1" customHeight="1">
      <c r="A244" s="63"/>
      <c r="B244" s="89"/>
      <c r="C244" s="65"/>
      <c r="D244" s="65"/>
      <c r="E244" s="65"/>
      <c r="F244" s="65"/>
      <c r="G244" s="65"/>
      <c r="H244" s="65"/>
      <c r="I244" s="44"/>
      <c r="J244" s="44">
        <v>0</v>
      </c>
      <c r="K244" s="44">
        <v>0</v>
      </c>
      <c r="L244" s="17"/>
      <c r="M244" s="60" t="e">
        <f>CONCATENATE(#REF!,G244)</f>
        <v>#REF!</v>
      </c>
      <c r="N244" s="60" t="str">
        <f t="shared" si="14"/>
        <v/>
      </c>
      <c r="O244" s="61" t="str">
        <f t="shared" si="16"/>
        <v>-</v>
      </c>
      <c r="P244" s="61"/>
      <c r="Q244" s="61"/>
      <c r="R244" s="61"/>
      <c r="S244" s="61"/>
      <c r="T244" s="61"/>
    </row>
    <row r="245" spans="1:20" s="62" customFormat="1" ht="35.1" customHeight="1">
      <c r="A245" s="63"/>
      <c r="B245" s="89"/>
      <c r="C245" s="65"/>
      <c r="D245" s="65"/>
      <c r="E245" s="65"/>
      <c r="F245" s="65"/>
      <c r="G245" s="65"/>
      <c r="H245" s="65"/>
      <c r="I245" s="44"/>
      <c r="J245" s="44">
        <v>0</v>
      </c>
      <c r="K245" s="44">
        <v>0</v>
      </c>
      <c r="L245" s="17"/>
      <c r="M245" s="60" t="e">
        <f>CONCATENATE(#REF!,G245)</f>
        <v>#REF!</v>
      </c>
      <c r="N245" s="60" t="str">
        <f t="shared" si="14"/>
        <v/>
      </c>
      <c r="O245" s="61" t="str">
        <f t="shared" si="16"/>
        <v>-</v>
      </c>
      <c r="P245" s="61"/>
      <c r="Q245" s="61"/>
      <c r="R245" s="61"/>
      <c r="S245" s="61"/>
      <c r="T245" s="61"/>
    </row>
    <row r="246" spans="1:20" s="62" customFormat="1" ht="35.1" customHeight="1">
      <c r="A246" s="63"/>
      <c r="B246" s="89"/>
      <c r="C246" s="65"/>
      <c r="D246" s="65"/>
      <c r="E246" s="65"/>
      <c r="F246" s="65"/>
      <c r="G246" s="65"/>
      <c r="H246" s="65"/>
      <c r="I246" s="44"/>
      <c r="J246" s="44"/>
      <c r="K246" s="44"/>
      <c r="L246" s="17"/>
      <c r="M246" s="60" t="e">
        <f>CONCATENATE(#REF!,G246)</f>
        <v>#REF!</v>
      </c>
      <c r="N246" s="60" t="str">
        <f t="shared" si="14"/>
        <v/>
      </c>
      <c r="O246" s="61" t="str">
        <f t="shared" si="16"/>
        <v>-</v>
      </c>
      <c r="P246" s="61"/>
      <c r="Q246" s="61"/>
      <c r="R246" s="61"/>
      <c r="S246" s="61"/>
      <c r="T246" s="61"/>
    </row>
    <row r="247" spans="1:20" s="62" customFormat="1" ht="35.1" customHeight="1">
      <c r="A247" s="63"/>
      <c r="B247" s="89"/>
      <c r="C247" s="65"/>
      <c r="D247" s="65"/>
      <c r="E247" s="65"/>
      <c r="F247" s="65"/>
      <c r="G247" s="65"/>
      <c r="H247" s="65"/>
      <c r="I247" s="44"/>
      <c r="J247" s="44">
        <v>0</v>
      </c>
      <c r="K247" s="44">
        <v>0</v>
      </c>
      <c r="L247" s="17"/>
      <c r="M247" s="60" t="e">
        <f>CONCATENATE(#REF!,G247)</f>
        <v>#REF!</v>
      </c>
      <c r="N247" s="60" t="str">
        <f t="shared" si="14"/>
        <v/>
      </c>
      <c r="O247" s="61" t="str">
        <f t="shared" si="16"/>
        <v>-</v>
      </c>
      <c r="P247" s="61"/>
      <c r="Q247" s="61"/>
      <c r="R247" s="61"/>
      <c r="S247" s="61"/>
      <c r="T247" s="61"/>
    </row>
    <row r="248" spans="1:20" s="62" customFormat="1" ht="35.1" customHeight="1">
      <c r="A248" s="63"/>
      <c r="B248" s="89"/>
      <c r="C248" s="65"/>
      <c r="D248" s="65"/>
      <c r="E248" s="65"/>
      <c r="F248" s="65"/>
      <c r="G248" s="65"/>
      <c r="H248" s="65"/>
      <c r="I248" s="44"/>
      <c r="J248" s="44">
        <v>0</v>
      </c>
      <c r="K248" s="44">
        <v>0</v>
      </c>
      <c r="L248" s="17"/>
      <c r="M248" s="60" t="e">
        <f>CONCATENATE(#REF!,G248)</f>
        <v>#REF!</v>
      </c>
      <c r="N248" s="60" t="str">
        <f t="shared" si="14"/>
        <v/>
      </c>
      <c r="O248" s="61" t="str">
        <f t="shared" si="16"/>
        <v>-</v>
      </c>
      <c r="P248" s="61"/>
      <c r="Q248" s="61"/>
      <c r="R248" s="61"/>
      <c r="S248" s="61"/>
      <c r="T248" s="61"/>
    </row>
    <row r="249" spans="1:20" s="62" customFormat="1" ht="35.1" customHeight="1">
      <c r="A249" s="63"/>
      <c r="B249" s="89"/>
      <c r="C249" s="65"/>
      <c r="D249" s="65"/>
      <c r="E249" s="65"/>
      <c r="F249" s="65"/>
      <c r="G249" s="65"/>
      <c r="H249" s="65"/>
      <c r="I249" s="44"/>
      <c r="J249" s="44">
        <v>0</v>
      </c>
      <c r="K249" s="44">
        <v>0</v>
      </c>
      <c r="L249" s="17"/>
      <c r="M249" s="60" t="e">
        <f>CONCATENATE(#REF!,G249)</f>
        <v>#REF!</v>
      </c>
      <c r="N249" s="60" t="str">
        <f t="shared" si="14"/>
        <v/>
      </c>
      <c r="O249" s="61" t="str">
        <f t="shared" si="16"/>
        <v>-</v>
      </c>
      <c r="P249" s="61"/>
      <c r="Q249" s="61"/>
      <c r="R249" s="61"/>
      <c r="S249" s="61"/>
      <c r="T249" s="61"/>
    </row>
    <row r="250" spans="1:20" s="62" customFormat="1" ht="35.1" customHeight="1">
      <c r="A250" s="63"/>
      <c r="B250" s="64"/>
      <c r="C250" s="65"/>
      <c r="D250" s="65"/>
      <c r="E250" s="65"/>
      <c r="F250" s="65"/>
      <c r="G250" s="65"/>
      <c r="H250" s="65"/>
      <c r="I250" s="44"/>
      <c r="J250" s="44"/>
      <c r="K250" s="44"/>
      <c r="L250" s="17"/>
      <c r="M250" s="60" t="e">
        <f>CONCATENATE(#REF!,G250)</f>
        <v>#REF!</v>
      </c>
      <c r="N250" s="60" t="str">
        <f t="shared" si="14"/>
        <v/>
      </c>
      <c r="O250" s="61" t="str">
        <f t="shared" si="16"/>
        <v>-</v>
      </c>
      <c r="P250" s="61"/>
      <c r="Q250" s="61"/>
      <c r="R250" s="61"/>
      <c r="S250" s="61"/>
      <c r="T250" s="61"/>
    </row>
    <row r="251" spans="1:20" s="62" customFormat="1" ht="35.1" customHeight="1">
      <c r="A251" s="63"/>
      <c r="B251" s="64"/>
      <c r="C251" s="65"/>
      <c r="D251" s="65"/>
      <c r="E251" s="65"/>
      <c r="F251" s="65"/>
      <c r="G251" s="65"/>
      <c r="H251" s="65"/>
      <c r="I251" s="44"/>
      <c r="J251" s="44"/>
      <c r="K251" s="44"/>
      <c r="L251" s="17"/>
      <c r="M251" s="60" t="e">
        <f>CONCATENATE(#REF!,G251)</f>
        <v>#REF!</v>
      </c>
      <c r="N251" s="60" t="str">
        <f t="shared" si="14"/>
        <v/>
      </c>
      <c r="O251" s="61" t="str">
        <f t="shared" si="16"/>
        <v>-</v>
      </c>
      <c r="P251" s="61"/>
      <c r="Q251" s="61"/>
      <c r="R251" s="61"/>
      <c r="S251" s="61"/>
      <c r="T251" s="61"/>
    </row>
    <row r="252" spans="1:20" s="62" customFormat="1" ht="35.1" customHeight="1">
      <c r="A252" s="63"/>
      <c r="B252" s="64"/>
      <c r="C252" s="65"/>
      <c r="D252" s="65"/>
      <c r="E252" s="65"/>
      <c r="F252" s="65"/>
      <c r="G252" s="65"/>
      <c r="H252" s="65"/>
      <c r="I252" s="44"/>
      <c r="J252" s="44"/>
      <c r="K252" s="44"/>
      <c r="L252" s="17"/>
      <c r="M252" s="60" t="e">
        <f>CONCATENATE(#REF!,G252)</f>
        <v>#REF!</v>
      </c>
      <c r="N252" s="60" t="str">
        <f t="shared" si="14"/>
        <v/>
      </c>
      <c r="O252" s="61" t="str">
        <f t="shared" si="16"/>
        <v>-</v>
      </c>
      <c r="P252" s="61"/>
      <c r="Q252" s="61"/>
      <c r="R252" s="61"/>
      <c r="S252" s="61"/>
      <c r="T252" s="61"/>
    </row>
    <row r="253" spans="1:20" s="62" customFormat="1" ht="35.1" customHeight="1">
      <c r="A253" s="63"/>
      <c r="B253" s="64"/>
      <c r="C253" s="65"/>
      <c r="D253" s="65"/>
      <c r="E253" s="65"/>
      <c r="F253" s="65"/>
      <c r="G253" s="65"/>
      <c r="H253" s="65"/>
      <c r="I253" s="44"/>
      <c r="J253" s="44"/>
      <c r="K253" s="44"/>
      <c r="L253" s="17"/>
      <c r="M253" s="60" t="e">
        <f>CONCATENATE(#REF!,G253)</f>
        <v>#REF!</v>
      </c>
      <c r="N253" s="60" t="str">
        <f t="shared" si="14"/>
        <v/>
      </c>
      <c r="O253" s="61" t="str">
        <f t="shared" si="16"/>
        <v>-</v>
      </c>
      <c r="P253" s="61"/>
      <c r="Q253" s="61"/>
      <c r="R253" s="61"/>
      <c r="S253" s="61"/>
      <c r="T253" s="61"/>
    </row>
    <row r="254" spans="1:20" s="62" customFormat="1" ht="35.1" customHeight="1">
      <c r="A254" s="63"/>
      <c r="B254" s="64"/>
      <c r="C254" s="65"/>
      <c r="D254" s="65"/>
      <c r="E254" s="65"/>
      <c r="F254" s="65"/>
      <c r="G254" s="65"/>
      <c r="H254" s="65"/>
      <c r="I254" s="44"/>
      <c r="J254" s="44"/>
      <c r="K254" s="44"/>
      <c r="L254" s="17"/>
      <c r="M254" s="60" t="e">
        <f>CONCATENATE(#REF!,G254)</f>
        <v>#REF!</v>
      </c>
      <c r="N254" s="60" t="str">
        <f t="shared" si="14"/>
        <v/>
      </c>
      <c r="O254" s="61" t="str">
        <f t="shared" si="16"/>
        <v>-</v>
      </c>
      <c r="P254" s="61"/>
      <c r="Q254" s="61"/>
      <c r="R254" s="61"/>
      <c r="S254" s="61"/>
      <c r="T254" s="61"/>
    </row>
    <row r="255" spans="1:20" s="62" customFormat="1" ht="35.1" customHeight="1">
      <c r="A255" s="63"/>
      <c r="B255" s="64"/>
      <c r="C255" s="65"/>
      <c r="D255" s="65"/>
      <c r="E255" s="65"/>
      <c r="F255" s="65"/>
      <c r="G255" s="65"/>
      <c r="H255" s="65"/>
      <c r="I255" s="44"/>
      <c r="J255" s="44"/>
      <c r="K255" s="44"/>
      <c r="L255" s="17"/>
      <c r="M255" s="60" t="e">
        <f>CONCATENATE(#REF!,G255)</f>
        <v>#REF!</v>
      </c>
      <c r="N255" s="60" t="str">
        <f t="shared" si="14"/>
        <v/>
      </c>
      <c r="O255" s="61" t="str">
        <f t="shared" si="16"/>
        <v>-</v>
      </c>
      <c r="P255" s="61"/>
      <c r="Q255" s="61"/>
      <c r="R255" s="61"/>
      <c r="S255" s="61"/>
      <c r="T255" s="61"/>
    </row>
    <row r="256" spans="1:20" s="62" customFormat="1" ht="35.1" customHeight="1">
      <c r="A256" s="63"/>
      <c r="B256" s="64"/>
      <c r="C256" s="65"/>
      <c r="D256" s="65"/>
      <c r="E256" s="65"/>
      <c r="F256" s="65"/>
      <c r="G256" s="65"/>
      <c r="H256" s="65"/>
      <c r="I256" s="44"/>
      <c r="J256" s="44"/>
      <c r="K256" s="44"/>
      <c r="L256" s="17"/>
      <c r="M256" s="60" t="e">
        <f>CONCATENATE(#REF!,G256)</f>
        <v>#REF!</v>
      </c>
      <c r="N256" s="60" t="str">
        <f t="shared" si="14"/>
        <v/>
      </c>
      <c r="O256" s="61" t="str">
        <f t="shared" si="16"/>
        <v>-</v>
      </c>
      <c r="P256" s="61"/>
      <c r="Q256" s="61"/>
      <c r="R256" s="61"/>
      <c r="S256" s="61"/>
      <c r="T256" s="61"/>
    </row>
    <row r="257" spans="1:76" s="62" customFormat="1" ht="35.1" customHeight="1">
      <c r="A257" s="63"/>
      <c r="B257" s="64"/>
      <c r="C257" s="65"/>
      <c r="D257" s="65"/>
      <c r="E257" s="65"/>
      <c r="F257" s="65"/>
      <c r="G257" s="65"/>
      <c r="H257" s="65"/>
      <c r="I257" s="44"/>
      <c r="J257" s="44"/>
      <c r="K257" s="44"/>
      <c r="L257" s="17"/>
      <c r="M257" s="60" t="e">
        <f>CONCATENATE(#REF!,G257)</f>
        <v>#REF!</v>
      </c>
      <c r="N257" s="60" t="str">
        <f t="shared" si="14"/>
        <v/>
      </c>
      <c r="O257" s="61" t="str">
        <f t="shared" si="16"/>
        <v>-</v>
      </c>
      <c r="P257" s="61"/>
      <c r="Q257" s="61"/>
      <c r="R257" s="61"/>
      <c r="S257" s="61"/>
      <c r="T257" s="61"/>
    </row>
    <row r="258" spans="1:76" s="62" customFormat="1" ht="35.1" customHeight="1">
      <c r="A258" s="63"/>
      <c r="B258" s="64"/>
      <c r="C258" s="65"/>
      <c r="D258" s="65"/>
      <c r="E258" s="65"/>
      <c r="F258" s="65"/>
      <c r="G258" s="65"/>
      <c r="H258" s="65"/>
      <c r="I258" s="44"/>
      <c r="J258" s="44"/>
      <c r="K258" s="44"/>
      <c r="L258" s="17"/>
      <c r="M258" s="60" t="e">
        <f>CONCATENATE(#REF!,G258)</f>
        <v>#REF!</v>
      </c>
      <c r="N258" s="60" t="str">
        <f t="shared" si="14"/>
        <v/>
      </c>
      <c r="O258" s="61" t="str">
        <f t="shared" si="16"/>
        <v>-</v>
      </c>
      <c r="P258" s="61"/>
      <c r="Q258" s="61"/>
      <c r="R258" s="61"/>
      <c r="S258" s="61"/>
      <c r="T258" s="61"/>
    </row>
    <row r="259" spans="1:76" s="73" customFormat="1" ht="35.1" customHeight="1">
      <c r="A259" s="66" t="s">
        <v>41</v>
      </c>
      <c r="B259" s="67"/>
      <c r="C259" s="68"/>
      <c r="D259" s="69"/>
      <c r="E259" s="69"/>
      <c r="F259" s="69">
        <f>SUM(F239:F258)</f>
        <v>0</v>
      </c>
      <c r="G259" s="70"/>
      <c r="H259" s="70"/>
      <c r="I259" s="70"/>
      <c r="J259" s="70"/>
      <c r="K259" s="70"/>
      <c r="L259" s="71"/>
      <c r="M259" s="60" t="e">
        <f>CONCATENATE(#REF!,G259)</f>
        <v>#REF!</v>
      </c>
      <c r="N259" s="60" t="str">
        <f t="shared" si="14"/>
        <v/>
      </c>
      <c r="O259" s="61"/>
      <c r="P259" s="61"/>
      <c r="Q259" s="61"/>
      <c r="R259" s="61"/>
      <c r="S259" s="61"/>
      <c r="T259" s="61"/>
      <c r="U259" s="72"/>
      <c r="V259" s="72"/>
      <c r="W259" s="72"/>
      <c r="X259" s="72"/>
      <c r="Y259" s="72"/>
      <c r="Z259" s="72"/>
      <c r="AA259" s="72"/>
      <c r="AB259" s="72"/>
      <c r="AC259" s="72"/>
      <c r="AD259" s="72"/>
      <c r="AE259" s="72"/>
      <c r="AF259" s="72"/>
      <c r="AG259" s="72"/>
      <c r="AH259" s="72"/>
      <c r="AI259" s="72"/>
      <c r="AJ259" s="72"/>
      <c r="AK259" s="72"/>
      <c r="AL259" s="72"/>
      <c r="AM259" s="72"/>
      <c r="AN259" s="72"/>
      <c r="AO259" s="72"/>
      <c r="AP259" s="72"/>
      <c r="AQ259" s="72"/>
      <c r="AR259" s="72"/>
      <c r="AS259" s="72"/>
      <c r="AT259" s="72"/>
      <c r="AU259" s="72"/>
      <c r="AV259" s="72"/>
      <c r="AW259" s="72"/>
      <c r="AX259" s="72"/>
      <c r="AY259" s="72"/>
      <c r="AZ259" s="72"/>
      <c r="BA259" s="72"/>
      <c r="BB259" s="72"/>
      <c r="BC259" s="72"/>
      <c r="BD259" s="72"/>
      <c r="BE259" s="72"/>
      <c r="BF259" s="72"/>
      <c r="BG259" s="72"/>
      <c r="BH259" s="72"/>
      <c r="BI259" s="72"/>
      <c r="BJ259" s="72"/>
      <c r="BK259" s="72"/>
      <c r="BL259" s="72"/>
      <c r="BM259" s="72"/>
      <c r="BN259" s="72"/>
      <c r="BO259" s="72"/>
      <c r="BP259" s="72"/>
      <c r="BQ259" s="72"/>
      <c r="BR259" s="72"/>
      <c r="BS259" s="72"/>
      <c r="BT259" s="72"/>
      <c r="BU259" s="72"/>
      <c r="BV259" s="72"/>
      <c r="BW259" s="72"/>
      <c r="BX259" s="72"/>
    </row>
  </sheetData>
  <mergeCells count="8">
    <mergeCell ref="A1:L1"/>
    <mergeCell ref="B4:B5"/>
    <mergeCell ref="C4:C5"/>
    <mergeCell ref="D4:D5"/>
    <mergeCell ref="G4:H4"/>
    <mergeCell ref="I4:K4"/>
    <mergeCell ref="L4:L5"/>
    <mergeCell ref="E4:F4"/>
  </mergeCells>
  <phoneticPr fontId="5" type="noConversion"/>
  <printOptions horizontalCentered="1"/>
  <pageMargins left="0.27559055118110237" right="0.19685039370078741" top="0.74803149606299213" bottom="0.43307086614173229" header="0.39370078740157483" footer="0.19685039370078741"/>
  <pageSetup paperSize="9" scale="83" orientation="portrait" horizontalDpi="4294967292" r:id="rId1"/>
  <headerFooter alignWithMargins="0"/>
  <rowBreaks count="1" manualBreakCount="1">
    <brk id="31" max="10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257"/>
  <sheetViews>
    <sheetView showGridLines="0" showZeros="0" view="pageBreakPreview" zoomScaleSheetLayoutView="100" workbookViewId="0">
      <selection activeCell="A4" sqref="A4"/>
    </sheetView>
  </sheetViews>
  <sheetFormatPr defaultRowHeight="11.25"/>
  <cols>
    <col min="1" max="1" width="3.77734375" style="50" customWidth="1"/>
    <col min="2" max="2" width="8.77734375" style="50" customWidth="1"/>
    <col min="3" max="3" width="3.77734375" style="50" customWidth="1"/>
    <col min="4" max="4" width="11.21875" style="50" customWidth="1"/>
    <col min="5" max="5" width="8.6640625" style="74" customWidth="1"/>
    <col min="6" max="6" width="5.44140625" style="50" customWidth="1"/>
    <col min="7" max="7" width="12.77734375" style="50" customWidth="1"/>
    <col min="8" max="8" width="6.33203125" style="50" customWidth="1"/>
    <col min="9" max="9" width="9.77734375" style="50" customWidth="1"/>
    <col min="10" max="10" width="6.77734375" style="50" customWidth="1"/>
    <col min="11" max="11" width="3.33203125" style="50" customWidth="1"/>
    <col min="12" max="13" width="8" style="75" customWidth="1"/>
    <col min="14" max="19" width="9.77734375" style="50" customWidth="1"/>
    <col min="20" max="20" width="10.77734375" style="50" customWidth="1"/>
    <col min="21" max="16384" width="8.88671875" style="50"/>
  </cols>
  <sheetData>
    <row r="1" spans="1:20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</row>
    <row r="2" spans="1:20" ht="20.100000000000001" customHeight="1">
      <c r="A2" s="46"/>
      <c r="B2" s="46"/>
      <c r="C2" s="46"/>
      <c r="D2" s="46"/>
      <c r="E2" s="47"/>
      <c r="F2" s="46"/>
      <c r="G2" s="46"/>
      <c r="I2" s="106" t="s">
        <v>61</v>
      </c>
      <c r="J2" s="48"/>
      <c r="K2" s="48"/>
      <c r="L2" s="49"/>
      <c r="M2" s="49"/>
      <c r="N2" s="46"/>
      <c r="O2" s="46"/>
      <c r="P2" s="46"/>
      <c r="Q2" s="46"/>
      <c r="R2" s="46"/>
      <c r="S2" s="46"/>
      <c r="T2" s="46"/>
    </row>
    <row r="3" spans="1:20" ht="10.35" customHeight="1">
      <c r="A3" s="46"/>
      <c r="B3" s="46"/>
      <c r="C3" s="46"/>
      <c r="D3" s="46"/>
      <c r="E3" s="47"/>
      <c r="F3" s="46"/>
      <c r="G3" s="46"/>
      <c r="H3" s="46"/>
      <c r="I3" s="46"/>
      <c r="J3" s="46"/>
      <c r="K3" s="46"/>
      <c r="L3" s="51"/>
      <c r="M3" s="51"/>
      <c r="N3" s="46"/>
      <c r="O3" s="46"/>
      <c r="P3" s="46"/>
      <c r="Q3" s="46"/>
      <c r="R3" s="46"/>
      <c r="S3" s="46"/>
      <c r="T3" s="46"/>
    </row>
    <row r="4" spans="1:20" s="54" customFormat="1" ht="27" customHeight="1">
      <c r="A4" s="97" t="s">
        <v>33</v>
      </c>
      <c r="B4" s="447" t="s">
        <v>59</v>
      </c>
      <c r="C4" s="437" t="s">
        <v>60</v>
      </c>
      <c r="D4" s="439" t="s">
        <v>62</v>
      </c>
      <c r="E4" s="441" t="s">
        <v>63</v>
      </c>
      <c r="F4" s="442" t="s">
        <v>36</v>
      </c>
      <c r="G4" s="443"/>
      <c r="H4" s="442" t="s">
        <v>37</v>
      </c>
      <c r="I4" s="444"/>
      <c r="J4" s="443"/>
      <c r="K4" s="445" t="s">
        <v>27</v>
      </c>
      <c r="L4" s="52"/>
      <c r="M4" s="52"/>
      <c r="N4" s="53"/>
      <c r="O4" s="53"/>
      <c r="P4" s="53"/>
      <c r="Q4" s="53"/>
      <c r="R4" s="53"/>
      <c r="S4" s="53"/>
      <c r="T4" s="53"/>
    </row>
    <row r="5" spans="1:20" s="54" customFormat="1" ht="27" customHeight="1">
      <c r="A5" s="98" t="s">
        <v>38</v>
      </c>
      <c r="B5" s="448"/>
      <c r="C5" s="438"/>
      <c r="D5" s="440"/>
      <c r="E5" s="440"/>
      <c r="F5" s="103" t="s">
        <v>39</v>
      </c>
      <c r="G5" s="104" t="s">
        <v>40</v>
      </c>
      <c r="H5" s="103" t="s">
        <v>39</v>
      </c>
      <c r="I5" s="103" t="s">
        <v>40</v>
      </c>
      <c r="J5" s="104" t="s">
        <v>54</v>
      </c>
      <c r="K5" s="446"/>
      <c r="L5" s="55"/>
      <c r="M5" s="55"/>
      <c r="N5" s="56"/>
      <c r="O5" s="56"/>
      <c r="P5" s="56"/>
      <c r="Q5" s="56"/>
      <c r="R5" s="56"/>
      <c r="S5" s="56"/>
      <c r="T5" s="57"/>
    </row>
    <row r="6" spans="1:20" s="62" customFormat="1" ht="35.1" customHeight="1">
      <c r="A6" s="87"/>
      <c r="B6" s="82"/>
      <c r="C6" s="80"/>
      <c r="D6" s="59"/>
      <c r="E6" s="59"/>
      <c r="F6" s="80"/>
      <c r="G6" s="80"/>
      <c r="H6" s="43"/>
      <c r="I6" s="43"/>
      <c r="J6" s="43"/>
      <c r="K6" s="16"/>
      <c r="L6" s="60" t="e">
        <f>CONCATENATE(#REF!,F6)</f>
        <v>#REF!</v>
      </c>
      <c r="M6" s="60" t="str">
        <f t="shared" ref="M6:M69" si="0">CONCATENATE(C6,F6)</f>
        <v/>
      </c>
      <c r="N6" s="61" t="str">
        <f t="shared" ref="N6:N25" si="1">IF(D6&gt;=E6,"-","err")</f>
        <v>-</v>
      </c>
      <c r="O6" s="61"/>
      <c r="P6" s="61"/>
      <c r="Q6" s="61"/>
      <c r="R6" s="61"/>
      <c r="S6" s="61"/>
      <c r="T6" s="61"/>
    </row>
    <row r="7" spans="1:20" s="62" customFormat="1" ht="35.1" customHeight="1">
      <c r="A7" s="88"/>
      <c r="B7" s="83"/>
      <c r="C7" s="65"/>
      <c r="D7" s="65"/>
      <c r="E7" s="65"/>
      <c r="F7" s="65"/>
      <c r="G7" s="65"/>
      <c r="H7" s="44"/>
      <c r="I7" s="44">
        <v>0</v>
      </c>
      <c r="J7" s="44">
        <v>0</v>
      </c>
      <c r="K7" s="17"/>
      <c r="L7" s="60" t="e">
        <f>CONCATENATE(#REF!,F7)</f>
        <v>#REF!</v>
      </c>
      <c r="M7" s="60" t="str">
        <f t="shared" si="0"/>
        <v/>
      </c>
      <c r="N7" s="61" t="str">
        <f t="shared" si="1"/>
        <v>-</v>
      </c>
      <c r="O7" s="61"/>
      <c r="P7" s="61"/>
      <c r="Q7" s="61"/>
      <c r="R7" s="61"/>
      <c r="S7" s="61"/>
      <c r="T7" s="61"/>
    </row>
    <row r="8" spans="1:20" s="62" customFormat="1" ht="35.1" customHeight="1">
      <c r="A8" s="88"/>
      <c r="B8" s="86"/>
      <c r="C8" s="65"/>
      <c r="D8" s="65"/>
      <c r="E8" s="65"/>
      <c r="F8" s="65"/>
      <c r="G8" s="65"/>
      <c r="H8" s="44"/>
      <c r="I8" s="44">
        <v>0</v>
      </c>
      <c r="J8" s="44">
        <v>0</v>
      </c>
      <c r="K8" s="17"/>
      <c r="L8" s="60" t="e">
        <f>CONCATENATE(#REF!,F8)</f>
        <v>#REF!</v>
      </c>
      <c r="M8" s="60" t="str">
        <f t="shared" si="0"/>
        <v/>
      </c>
      <c r="N8" s="61" t="str">
        <f t="shared" si="1"/>
        <v>-</v>
      </c>
      <c r="O8" s="61"/>
      <c r="P8" s="61"/>
      <c r="Q8" s="61"/>
      <c r="R8" s="61"/>
      <c r="S8" s="61"/>
      <c r="T8" s="61"/>
    </row>
    <row r="9" spans="1:20" s="62" customFormat="1" ht="35.1" customHeight="1">
      <c r="A9" s="88"/>
      <c r="B9" s="86"/>
      <c r="C9" s="65"/>
      <c r="D9" s="65"/>
      <c r="E9" s="65"/>
      <c r="F9" s="65"/>
      <c r="G9" s="65"/>
      <c r="H9" s="44"/>
      <c r="I9" s="44">
        <v>0</v>
      </c>
      <c r="J9" s="44">
        <v>0</v>
      </c>
      <c r="K9" s="17"/>
      <c r="L9" s="60" t="e">
        <f>CONCATENATE(#REF!,F9)</f>
        <v>#REF!</v>
      </c>
      <c r="M9" s="60" t="str">
        <f t="shared" si="0"/>
        <v/>
      </c>
      <c r="N9" s="61" t="str">
        <f t="shared" si="1"/>
        <v>-</v>
      </c>
      <c r="O9" s="61"/>
      <c r="P9" s="61"/>
      <c r="Q9" s="61"/>
      <c r="R9" s="61"/>
      <c r="S9" s="61"/>
      <c r="T9" s="61"/>
    </row>
    <row r="10" spans="1:20" s="62" customFormat="1" ht="35.1" customHeight="1">
      <c r="A10" s="88"/>
      <c r="B10" s="86"/>
      <c r="C10" s="65"/>
      <c r="D10" s="65"/>
      <c r="E10" s="65"/>
      <c r="F10" s="65"/>
      <c r="G10" s="65"/>
      <c r="H10" s="44"/>
      <c r="I10" s="44">
        <v>0</v>
      </c>
      <c r="J10" s="44">
        <v>0</v>
      </c>
      <c r="K10" s="17"/>
      <c r="L10" s="60" t="e">
        <f>CONCATENATE(#REF!,F10)</f>
        <v>#REF!</v>
      </c>
      <c r="M10" s="60" t="str">
        <f t="shared" si="0"/>
        <v/>
      </c>
      <c r="N10" s="61" t="str">
        <f t="shared" si="1"/>
        <v>-</v>
      </c>
      <c r="O10" s="61"/>
      <c r="P10" s="61"/>
      <c r="Q10" s="61"/>
      <c r="R10" s="61"/>
      <c r="S10" s="61"/>
      <c r="T10" s="61"/>
    </row>
    <row r="11" spans="1:20" s="62" customFormat="1" ht="35.1" customHeight="1">
      <c r="A11" s="63"/>
      <c r="B11" s="83"/>
      <c r="C11" s="65"/>
      <c r="D11" s="65"/>
      <c r="E11" s="65"/>
      <c r="F11" s="65"/>
      <c r="G11" s="65"/>
      <c r="H11" s="44"/>
      <c r="I11" s="44">
        <v>0</v>
      </c>
      <c r="J11" s="44">
        <v>0</v>
      </c>
      <c r="K11" s="17"/>
      <c r="L11" s="60" t="e">
        <f>CONCATENATE(#REF!,F11)</f>
        <v>#REF!</v>
      </c>
      <c r="M11" s="60" t="str">
        <f t="shared" si="0"/>
        <v/>
      </c>
      <c r="N11" s="61" t="str">
        <f t="shared" si="1"/>
        <v>-</v>
      </c>
      <c r="O11" s="61"/>
      <c r="P11" s="61"/>
      <c r="Q11" s="61"/>
      <c r="R11" s="61"/>
      <c r="S11" s="61"/>
      <c r="T11" s="61"/>
    </row>
    <row r="12" spans="1:20" s="62" customFormat="1" ht="35.1" customHeight="1">
      <c r="A12" s="63"/>
      <c r="B12" s="83"/>
      <c r="C12" s="81"/>
      <c r="D12" s="65"/>
      <c r="E12" s="65"/>
      <c r="F12" s="81"/>
      <c r="G12" s="81"/>
      <c r="H12" s="44"/>
      <c r="I12" s="44"/>
      <c r="J12" s="44"/>
      <c r="K12" s="17"/>
      <c r="L12" s="60" t="e">
        <f>CONCATENATE(#REF!,F12)</f>
        <v>#REF!</v>
      </c>
      <c r="M12" s="60" t="str">
        <f t="shared" si="0"/>
        <v/>
      </c>
      <c r="N12" s="61" t="str">
        <f t="shared" si="1"/>
        <v>-</v>
      </c>
      <c r="O12" s="61"/>
      <c r="P12" s="61"/>
      <c r="Q12" s="61"/>
      <c r="R12" s="61"/>
      <c r="S12" s="61"/>
      <c r="T12" s="61"/>
    </row>
    <row r="13" spans="1:20" s="62" customFormat="1" ht="35.1" customHeight="1">
      <c r="A13" s="63"/>
      <c r="B13" s="83"/>
      <c r="C13" s="81"/>
      <c r="D13" s="65"/>
      <c r="E13" s="65"/>
      <c r="F13" s="81"/>
      <c r="G13" s="81"/>
      <c r="H13" s="44"/>
      <c r="I13" s="44">
        <v>0</v>
      </c>
      <c r="J13" s="44">
        <v>0</v>
      </c>
      <c r="K13" s="17"/>
      <c r="L13" s="60" t="e">
        <f>CONCATENATE(#REF!,F13)</f>
        <v>#REF!</v>
      </c>
      <c r="M13" s="60" t="str">
        <f t="shared" si="0"/>
        <v/>
      </c>
      <c r="N13" s="61" t="str">
        <f t="shared" si="1"/>
        <v>-</v>
      </c>
      <c r="O13" s="61"/>
      <c r="P13" s="61"/>
      <c r="Q13" s="61"/>
      <c r="R13" s="61"/>
      <c r="S13" s="61"/>
      <c r="T13" s="61"/>
    </row>
    <row r="14" spans="1:20" s="62" customFormat="1" ht="35.1" customHeight="1">
      <c r="A14" s="63"/>
      <c r="B14" s="83"/>
      <c r="C14" s="81"/>
      <c r="D14" s="65"/>
      <c r="E14" s="65"/>
      <c r="F14" s="81"/>
      <c r="G14" s="81"/>
      <c r="H14" s="44">
        <v>0</v>
      </c>
      <c r="I14" s="44">
        <v>0</v>
      </c>
      <c r="J14" s="44">
        <v>0</v>
      </c>
      <c r="K14" s="17"/>
      <c r="L14" s="60" t="e">
        <f>CONCATENATE(#REF!,F14)</f>
        <v>#REF!</v>
      </c>
      <c r="M14" s="60" t="str">
        <f t="shared" si="0"/>
        <v/>
      </c>
      <c r="N14" s="61" t="str">
        <f t="shared" si="1"/>
        <v>-</v>
      </c>
      <c r="O14" s="61"/>
      <c r="P14" s="61"/>
      <c r="Q14" s="61"/>
      <c r="R14" s="61"/>
      <c r="S14" s="61"/>
      <c r="T14" s="61"/>
    </row>
    <row r="15" spans="1:20" s="62" customFormat="1" ht="35.1" customHeight="1">
      <c r="A15" s="63"/>
      <c r="B15" s="83"/>
      <c r="C15" s="81"/>
      <c r="D15" s="65"/>
      <c r="E15" s="65"/>
      <c r="F15" s="81"/>
      <c r="G15" s="81"/>
      <c r="H15" s="44">
        <v>0</v>
      </c>
      <c r="I15" s="44">
        <v>0</v>
      </c>
      <c r="J15" s="44">
        <v>0</v>
      </c>
      <c r="K15" s="17"/>
      <c r="L15" s="60" t="e">
        <f>CONCATENATE(#REF!,F15)</f>
        <v>#REF!</v>
      </c>
      <c r="M15" s="60" t="str">
        <f t="shared" si="0"/>
        <v/>
      </c>
      <c r="N15" s="61" t="str">
        <f t="shared" si="1"/>
        <v>-</v>
      </c>
      <c r="O15" s="61"/>
      <c r="P15" s="61"/>
      <c r="Q15" s="61"/>
      <c r="R15" s="61"/>
      <c r="S15" s="61"/>
      <c r="T15" s="61"/>
    </row>
    <row r="16" spans="1:20" s="62" customFormat="1" ht="35.1" customHeight="1">
      <c r="A16" s="63"/>
      <c r="B16" s="83"/>
      <c r="C16" s="81"/>
      <c r="D16" s="65"/>
      <c r="E16" s="65"/>
      <c r="F16" s="81"/>
      <c r="G16" s="81"/>
      <c r="H16" s="44">
        <v>0</v>
      </c>
      <c r="I16" s="44">
        <v>0</v>
      </c>
      <c r="J16" s="44">
        <v>0</v>
      </c>
      <c r="K16" s="17"/>
      <c r="L16" s="60" t="e">
        <f>CONCATENATE(#REF!,F16)</f>
        <v>#REF!</v>
      </c>
      <c r="M16" s="60" t="str">
        <f t="shared" si="0"/>
        <v/>
      </c>
      <c r="N16" s="61" t="str">
        <f t="shared" si="1"/>
        <v>-</v>
      </c>
      <c r="O16" s="61"/>
      <c r="P16" s="61"/>
      <c r="Q16" s="61"/>
      <c r="R16" s="61"/>
      <c r="S16" s="61"/>
      <c r="T16" s="61"/>
    </row>
    <row r="17" spans="1:76" s="62" customFormat="1" ht="35.1" customHeight="1">
      <c r="A17" s="63"/>
      <c r="B17" s="64"/>
      <c r="C17" s="65"/>
      <c r="D17" s="65"/>
      <c r="E17" s="65"/>
      <c r="F17" s="65"/>
      <c r="G17" s="65"/>
      <c r="H17" s="44"/>
      <c r="I17" s="44"/>
      <c r="J17" s="44"/>
      <c r="K17" s="17"/>
      <c r="L17" s="60" t="e">
        <f>CONCATENATE(#REF!,F17)</f>
        <v>#REF!</v>
      </c>
      <c r="M17" s="60" t="str">
        <f t="shared" si="0"/>
        <v/>
      </c>
      <c r="N17" s="61" t="str">
        <f t="shared" si="1"/>
        <v>-</v>
      </c>
      <c r="O17" s="61"/>
      <c r="P17" s="61"/>
      <c r="Q17" s="61"/>
      <c r="R17" s="61"/>
      <c r="S17" s="61"/>
      <c r="T17" s="61"/>
    </row>
    <row r="18" spans="1:76" s="62" customFormat="1" ht="35.1" customHeight="1">
      <c r="A18" s="63"/>
      <c r="B18" s="64"/>
      <c r="C18" s="65"/>
      <c r="D18" s="65"/>
      <c r="E18" s="65"/>
      <c r="F18" s="65"/>
      <c r="G18" s="65"/>
      <c r="H18" s="44"/>
      <c r="I18" s="44"/>
      <c r="J18" s="44"/>
      <c r="K18" s="17"/>
      <c r="L18" s="60" t="e">
        <f>CONCATENATE(#REF!,F18)</f>
        <v>#REF!</v>
      </c>
      <c r="M18" s="60" t="str">
        <f t="shared" si="0"/>
        <v/>
      </c>
      <c r="N18" s="61" t="str">
        <f t="shared" si="1"/>
        <v>-</v>
      </c>
      <c r="O18" s="61"/>
      <c r="P18" s="61"/>
      <c r="Q18" s="61"/>
      <c r="R18" s="61"/>
      <c r="S18" s="61"/>
      <c r="T18" s="61"/>
    </row>
    <row r="19" spans="1:76" s="62" customFormat="1" ht="35.1" customHeight="1">
      <c r="A19" s="63"/>
      <c r="B19" s="64"/>
      <c r="C19" s="65"/>
      <c r="D19" s="65"/>
      <c r="E19" s="65"/>
      <c r="F19" s="65"/>
      <c r="G19" s="65"/>
      <c r="H19" s="44"/>
      <c r="I19" s="44"/>
      <c r="J19" s="44"/>
      <c r="K19" s="17"/>
      <c r="L19" s="60" t="e">
        <f>CONCATENATE(#REF!,F19)</f>
        <v>#REF!</v>
      </c>
      <c r="M19" s="60" t="str">
        <f t="shared" si="0"/>
        <v/>
      </c>
      <c r="N19" s="61" t="str">
        <f t="shared" si="1"/>
        <v>-</v>
      </c>
      <c r="O19" s="61"/>
      <c r="P19" s="61"/>
      <c r="Q19" s="61"/>
      <c r="R19" s="61"/>
      <c r="S19" s="61"/>
      <c r="T19" s="61"/>
    </row>
    <row r="20" spans="1:76" s="62" customFormat="1" ht="35.1" customHeight="1">
      <c r="A20" s="63"/>
      <c r="B20" s="64"/>
      <c r="C20" s="65"/>
      <c r="D20" s="65"/>
      <c r="E20" s="65"/>
      <c r="F20" s="65"/>
      <c r="G20" s="65"/>
      <c r="H20" s="44"/>
      <c r="I20" s="44"/>
      <c r="J20" s="44"/>
      <c r="K20" s="17"/>
      <c r="L20" s="60" t="e">
        <f>CONCATENATE(#REF!,F20)</f>
        <v>#REF!</v>
      </c>
      <c r="M20" s="60" t="str">
        <f t="shared" si="0"/>
        <v/>
      </c>
      <c r="N20" s="61" t="str">
        <f t="shared" si="1"/>
        <v>-</v>
      </c>
      <c r="O20" s="61"/>
      <c r="P20" s="61"/>
      <c r="Q20" s="61"/>
      <c r="R20" s="61"/>
      <c r="S20" s="61"/>
      <c r="T20" s="61"/>
    </row>
    <row r="21" spans="1:76" s="62" customFormat="1" ht="35.1" customHeight="1">
      <c r="A21" s="63"/>
      <c r="B21" s="64"/>
      <c r="C21" s="65"/>
      <c r="D21" s="65"/>
      <c r="E21" s="65"/>
      <c r="F21" s="65"/>
      <c r="G21" s="65"/>
      <c r="H21" s="44"/>
      <c r="I21" s="44"/>
      <c r="J21" s="44"/>
      <c r="K21" s="17"/>
      <c r="L21" s="60" t="e">
        <f>CONCATENATE(#REF!,F21)</f>
        <v>#REF!</v>
      </c>
      <c r="M21" s="60" t="str">
        <f t="shared" si="0"/>
        <v/>
      </c>
      <c r="N21" s="61" t="str">
        <f t="shared" si="1"/>
        <v>-</v>
      </c>
      <c r="O21" s="61"/>
      <c r="P21" s="61"/>
      <c r="Q21" s="61"/>
      <c r="R21" s="61"/>
      <c r="S21" s="61"/>
      <c r="T21" s="61"/>
    </row>
    <row r="22" spans="1:76" s="62" customFormat="1" ht="35.1" customHeight="1">
      <c r="A22" s="63"/>
      <c r="B22" s="64"/>
      <c r="C22" s="65"/>
      <c r="D22" s="65"/>
      <c r="E22" s="65"/>
      <c r="F22" s="65"/>
      <c r="G22" s="65"/>
      <c r="H22" s="44"/>
      <c r="I22" s="44"/>
      <c r="J22" s="44"/>
      <c r="K22" s="17"/>
      <c r="L22" s="60" t="e">
        <f>CONCATENATE(#REF!,F22)</f>
        <v>#REF!</v>
      </c>
      <c r="M22" s="60" t="str">
        <f t="shared" si="0"/>
        <v/>
      </c>
      <c r="N22" s="61" t="str">
        <f t="shared" si="1"/>
        <v>-</v>
      </c>
      <c r="O22" s="61"/>
      <c r="P22" s="61"/>
      <c r="Q22" s="61"/>
      <c r="R22" s="61"/>
      <c r="S22" s="61"/>
      <c r="T22" s="61"/>
    </row>
    <row r="23" spans="1:76" s="62" customFormat="1" ht="35.1" customHeight="1">
      <c r="A23" s="63"/>
      <c r="B23" s="64"/>
      <c r="C23" s="65"/>
      <c r="D23" s="65"/>
      <c r="E23" s="65"/>
      <c r="F23" s="65"/>
      <c r="G23" s="65"/>
      <c r="H23" s="44"/>
      <c r="I23" s="44"/>
      <c r="J23" s="44"/>
      <c r="K23" s="17"/>
      <c r="L23" s="60" t="e">
        <f>CONCATENATE(#REF!,F23)</f>
        <v>#REF!</v>
      </c>
      <c r="M23" s="60" t="str">
        <f t="shared" si="0"/>
        <v/>
      </c>
      <c r="N23" s="61" t="str">
        <f t="shared" si="1"/>
        <v>-</v>
      </c>
      <c r="O23" s="61"/>
      <c r="P23" s="61"/>
      <c r="Q23" s="61"/>
      <c r="R23" s="61"/>
      <c r="S23" s="61"/>
      <c r="T23" s="61"/>
    </row>
    <row r="24" spans="1:76" s="62" customFormat="1" ht="35.1" customHeight="1">
      <c r="A24" s="63"/>
      <c r="B24" s="64"/>
      <c r="C24" s="65"/>
      <c r="D24" s="65"/>
      <c r="E24" s="65"/>
      <c r="F24" s="65"/>
      <c r="G24" s="65"/>
      <c r="H24" s="44"/>
      <c r="I24" s="44"/>
      <c r="J24" s="44"/>
      <c r="K24" s="17"/>
      <c r="L24" s="60" t="e">
        <f>CONCATENATE(#REF!,F24)</f>
        <v>#REF!</v>
      </c>
      <c r="M24" s="60" t="str">
        <f t="shared" si="0"/>
        <v/>
      </c>
      <c r="N24" s="61" t="str">
        <f t="shared" si="1"/>
        <v>-</v>
      </c>
      <c r="O24" s="61"/>
      <c r="P24" s="61"/>
      <c r="Q24" s="61"/>
      <c r="R24" s="61"/>
      <c r="S24" s="61"/>
      <c r="T24" s="61"/>
    </row>
    <row r="25" spans="1:76" s="62" customFormat="1" ht="35.1" customHeight="1">
      <c r="A25" s="77"/>
      <c r="B25" s="78"/>
      <c r="C25" s="79"/>
      <c r="D25" s="79"/>
      <c r="E25" s="79"/>
      <c r="F25" s="79"/>
      <c r="G25" s="79"/>
      <c r="H25" s="90"/>
      <c r="I25" s="90"/>
      <c r="J25" s="90"/>
      <c r="K25" s="91"/>
      <c r="L25" s="60" t="e">
        <f>CONCATENATE(#REF!,F25)</f>
        <v>#REF!</v>
      </c>
      <c r="M25" s="60" t="str">
        <f t="shared" si="0"/>
        <v/>
      </c>
      <c r="N25" s="61" t="str">
        <f t="shared" si="1"/>
        <v>-</v>
      </c>
      <c r="O25" s="61"/>
      <c r="P25" s="61"/>
      <c r="Q25" s="61"/>
      <c r="R25" s="61"/>
      <c r="S25" s="61"/>
      <c r="T25" s="61"/>
    </row>
    <row r="26" spans="1:76" s="73" customFormat="1" ht="35.1" customHeight="1">
      <c r="A26" s="66" t="s">
        <v>41</v>
      </c>
      <c r="B26" s="67"/>
      <c r="C26" s="68"/>
      <c r="D26" s="69"/>
      <c r="E26" s="69">
        <f>SUM(E6:E25)</f>
        <v>0</v>
      </c>
      <c r="F26" s="70"/>
      <c r="G26" s="70"/>
      <c r="H26" s="70"/>
      <c r="I26" s="70"/>
      <c r="J26" s="70"/>
      <c r="K26" s="71"/>
      <c r="L26" s="60" t="e">
        <f>CONCATENATE(#REF!,F26)</f>
        <v>#REF!</v>
      </c>
      <c r="M26" s="60" t="str">
        <f t="shared" si="0"/>
        <v/>
      </c>
      <c r="N26" s="61"/>
      <c r="O26" s="61"/>
      <c r="P26" s="61"/>
      <c r="Q26" s="61"/>
      <c r="R26" s="61"/>
      <c r="S26" s="61"/>
      <c r="T26" s="61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</row>
    <row r="27" spans="1:76" s="62" customFormat="1" ht="35.1" customHeight="1">
      <c r="A27" s="87"/>
      <c r="B27" s="82"/>
      <c r="C27" s="80"/>
      <c r="D27" s="59"/>
      <c r="E27" s="59"/>
      <c r="F27" s="80"/>
      <c r="G27" s="80"/>
      <c r="H27" s="43"/>
      <c r="I27" s="43"/>
      <c r="J27" s="43"/>
      <c r="K27" s="16"/>
      <c r="L27" s="60" t="e">
        <f>CONCATENATE(#REF!,F27)</f>
        <v>#REF!</v>
      </c>
      <c r="M27" s="60" t="str">
        <f t="shared" si="0"/>
        <v/>
      </c>
      <c r="N27" s="61" t="str">
        <f t="shared" ref="N27:N46" si="2">IF(D27&gt;=E27,"-","err")</f>
        <v>-</v>
      </c>
      <c r="O27" s="61"/>
      <c r="P27" s="61"/>
      <c r="Q27" s="61"/>
      <c r="R27" s="61"/>
      <c r="S27" s="61"/>
      <c r="T27" s="61"/>
    </row>
    <row r="28" spans="1:76" s="62" customFormat="1" ht="35.1" customHeight="1">
      <c r="A28" s="88"/>
      <c r="B28" s="83"/>
      <c r="C28" s="65"/>
      <c r="D28" s="65"/>
      <c r="E28" s="65"/>
      <c r="F28" s="65"/>
      <c r="G28" s="65"/>
      <c r="H28" s="44"/>
      <c r="I28" s="44">
        <v>0</v>
      </c>
      <c r="J28" s="44">
        <v>0</v>
      </c>
      <c r="K28" s="17"/>
      <c r="L28" s="60" t="e">
        <f>CONCATENATE(#REF!,F28)</f>
        <v>#REF!</v>
      </c>
      <c r="M28" s="60" t="str">
        <f t="shared" si="0"/>
        <v/>
      </c>
      <c r="N28" s="61" t="str">
        <f t="shared" si="2"/>
        <v>-</v>
      </c>
      <c r="O28" s="61"/>
      <c r="P28" s="61"/>
      <c r="Q28" s="61"/>
      <c r="R28" s="61"/>
      <c r="S28" s="61"/>
      <c r="T28" s="61"/>
    </row>
    <row r="29" spans="1:76" s="62" customFormat="1" ht="35.1" customHeight="1">
      <c r="A29" s="88"/>
      <c r="B29" s="86"/>
      <c r="C29" s="65"/>
      <c r="D29" s="65"/>
      <c r="E29" s="65"/>
      <c r="F29" s="65"/>
      <c r="G29" s="65"/>
      <c r="H29" s="44"/>
      <c r="I29" s="44">
        <v>0</v>
      </c>
      <c r="J29" s="44">
        <v>0</v>
      </c>
      <c r="K29" s="17"/>
      <c r="L29" s="60" t="e">
        <f>CONCATENATE(#REF!,F29)</f>
        <v>#REF!</v>
      </c>
      <c r="M29" s="60" t="str">
        <f t="shared" si="0"/>
        <v/>
      </c>
      <c r="N29" s="61" t="str">
        <f t="shared" si="2"/>
        <v>-</v>
      </c>
      <c r="O29" s="61"/>
      <c r="P29" s="61"/>
      <c r="Q29" s="61"/>
      <c r="R29" s="61"/>
      <c r="S29" s="61"/>
      <c r="T29" s="61"/>
    </row>
    <row r="30" spans="1:76" s="62" customFormat="1" ht="35.1" customHeight="1">
      <c r="A30" s="88"/>
      <c r="B30" s="86"/>
      <c r="C30" s="65"/>
      <c r="D30" s="65"/>
      <c r="E30" s="65"/>
      <c r="F30" s="65"/>
      <c r="G30" s="65"/>
      <c r="H30" s="44"/>
      <c r="I30" s="44">
        <v>0</v>
      </c>
      <c r="J30" s="44">
        <v>0</v>
      </c>
      <c r="K30" s="17"/>
      <c r="L30" s="60" t="e">
        <f>CONCATENATE(#REF!,F30)</f>
        <v>#REF!</v>
      </c>
      <c r="M30" s="60" t="str">
        <f t="shared" si="0"/>
        <v/>
      </c>
      <c r="N30" s="61" t="str">
        <f t="shared" si="2"/>
        <v>-</v>
      </c>
      <c r="O30" s="61"/>
      <c r="P30" s="61"/>
      <c r="Q30" s="61"/>
      <c r="R30" s="61"/>
      <c r="S30" s="61"/>
      <c r="T30" s="61"/>
    </row>
    <row r="31" spans="1:76" s="62" customFormat="1" ht="35.1" customHeight="1">
      <c r="A31" s="88"/>
      <c r="B31" s="86"/>
      <c r="C31" s="65"/>
      <c r="D31" s="65"/>
      <c r="E31" s="65"/>
      <c r="F31" s="65"/>
      <c r="G31" s="65"/>
      <c r="H31" s="44"/>
      <c r="I31" s="44">
        <v>0</v>
      </c>
      <c r="J31" s="44">
        <v>0</v>
      </c>
      <c r="K31" s="17"/>
      <c r="L31" s="60" t="e">
        <f>CONCATENATE(#REF!,F31)</f>
        <v>#REF!</v>
      </c>
      <c r="M31" s="60" t="str">
        <f t="shared" si="0"/>
        <v/>
      </c>
      <c r="N31" s="61" t="str">
        <f t="shared" si="2"/>
        <v>-</v>
      </c>
      <c r="O31" s="61"/>
      <c r="P31" s="61"/>
      <c r="Q31" s="61"/>
      <c r="R31" s="61"/>
      <c r="S31" s="61"/>
      <c r="T31" s="61"/>
    </row>
    <row r="32" spans="1:76" s="62" customFormat="1" ht="35.1" customHeight="1">
      <c r="A32" s="63"/>
      <c r="B32" s="83"/>
      <c r="C32" s="65"/>
      <c r="D32" s="65"/>
      <c r="E32" s="65"/>
      <c r="F32" s="65"/>
      <c r="G32" s="65"/>
      <c r="H32" s="44"/>
      <c r="I32" s="44">
        <v>0</v>
      </c>
      <c r="J32" s="44">
        <v>0</v>
      </c>
      <c r="K32" s="17"/>
      <c r="L32" s="60" t="e">
        <f>CONCATENATE(#REF!,F32)</f>
        <v>#REF!</v>
      </c>
      <c r="M32" s="60" t="str">
        <f t="shared" si="0"/>
        <v/>
      </c>
      <c r="N32" s="61" t="str">
        <f t="shared" si="2"/>
        <v>-</v>
      </c>
      <c r="O32" s="61"/>
      <c r="P32" s="61"/>
      <c r="Q32" s="61"/>
      <c r="R32" s="61"/>
      <c r="S32" s="61"/>
      <c r="T32" s="61"/>
    </row>
    <row r="33" spans="1:76" s="62" customFormat="1" ht="35.1" customHeight="1">
      <c r="A33" s="63"/>
      <c r="B33" s="83"/>
      <c r="C33" s="81"/>
      <c r="D33" s="65"/>
      <c r="E33" s="65"/>
      <c r="F33" s="81"/>
      <c r="G33" s="81"/>
      <c r="H33" s="44"/>
      <c r="I33" s="44"/>
      <c r="J33" s="44"/>
      <c r="K33" s="17"/>
      <c r="L33" s="60" t="e">
        <f>CONCATENATE(#REF!,F33)</f>
        <v>#REF!</v>
      </c>
      <c r="M33" s="60" t="str">
        <f t="shared" si="0"/>
        <v/>
      </c>
      <c r="N33" s="61" t="str">
        <f t="shared" si="2"/>
        <v>-</v>
      </c>
      <c r="O33" s="61"/>
      <c r="P33" s="61"/>
      <c r="Q33" s="61"/>
      <c r="R33" s="61"/>
      <c r="S33" s="61"/>
      <c r="T33" s="61"/>
    </row>
    <row r="34" spans="1:76" s="62" customFormat="1" ht="35.1" customHeight="1">
      <c r="A34" s="63"/>
      <c r="B34" s="83"/>
      <c r="C34" s="81"/>
      <c r="D34" s="65"/>
      <c r="E34" s="65"/>
      <c r="F34" s="81"/>
      <c r="G34" s="81"/>
      <c r="H34" s="44"/>
      <c r="I34" s="44">
        <v>0</v>
      </c>
      <c r="J34" s="44">
        <v>0</v>
      </c>
      <c r="K34" s="17"/>
      <c r="L34" s="60" t="e">
        <f>CONCATENATE(#REF!,F34)</f>
        <v>#REF!</v>
      </c>
      <c r="M34" s="60" t="str">
        <f t="shared" si="0"/>
        <v/>
      </c>
      <c r="N34" s="61" t="str">
        <f t="shared" si="2"/>
        <v>-</v>
      </c>
      <c r="O34" s="61"/>
      <c r="P34" s="61"/>
      <c r="Q34" s="61"/>
      <c r="R34" s="61"/>
      <c r="S34" s="61"/>
      <c r="T34" s="61"/>
    </row>
    <row r="35" spans="1:76" s="62" customFormat="1" ht="35.1" customHeight="1">
      <c r="A35" s="63"/>
      <c r="B35" s="83"/>
      <c r="C35" s="81"/>
      <c r="D35" s="65"/>
      <c r="E35" s="65"/>
      <c r="F35" s="81"/>
      <c r="G35" s="81"/>
      <c r="H35" s="44">
        <v>0</v>
      </c>
      <c r="I35" s="44">
        <v>0</v>
      </c>
      <c r="J35" s="44">
        <v>0</v>
      </c>
      <c r="K35" s="17"/>
      <c r="L35" s="60" t="e">
        <f>CONCATENATE(#REF!,F35)</f>
        <v>#REF!</v>
      </c>
      <c r="M35" s="60" t="str">
        <f t="shared" si="0"/>
        <v/>
      </c>
      <c r="N35" s="61" t="str">
        <f t="shared" si="2"/>
        <v>-</v>
      </c>
      <c r="O35" s="61"/>
      <c r="P35" s="61"/>
      <c r="Q35" s="61"/>
      <c r="R35" s="61"/>
      <c r="S35" s="61"/>
      <c r="T35" s="61"/>
    </row>
    <row r="36" spans="1:76" s="62" customFormat="1" ht="35.1" customHeight="1">
      <c r="A36" s="63"/>
      <c r="B36" s="83"/>
      <c r="C36" s="81"/>
      <c r="D36" s="65"/>
      <c r="E36" s="65"/>
      <c r="F36" s="81"/>
      <c r="G36" s="81"/>
      <c r="H36" s="44">
        <v>0</v>
      </c>
      <c r="I36" s="44">
        <v>0</v>
      </c>
      <c r="J36" s="44">
        <v>0</v>
      </c>
      <c r="K36" s="17"/>
      <c r="L36" s="60" t="e">
        <f>CONCATENATE(#REF!,F36)</f>
        <v>#REF!</v>
      </c>
      <c r="M36" s="60" t="str">
        <f t="shared" si="0"/>
        <v/>
      </c>
      <c r="N36" s="61" t="str">
        <f t="shared" si="2"/>
        <v>-</v>
      </c>
      <c r="O36" s="61"/>
      <c r="P36" s="61"/>
      <c r="Q36" s="61"/>
      <c r="R36" s="61"/>
      <c r="S36" s="61"/>
      <c r="T36" s="61"/>
    </row>
    <row r="37" spans="1:76" s="62" customFormat="1" ht="35.1" customHeight="1">
      <c r="A37" s="63"/>
      <c r="B37" s="83"/>
      <c r="C37" s="81"/>
      <c r="D37" s="65"/>
      <c r="E37" s="65"/>
      <c r="F37" s="81"/>
      <c r="G37" s="81"/>
      <c r="H37" s="44">
        <v>0</v>
      </c>
      <c r="I37" s="44">
        <v>0</v>
      </c>
      <c r="J37" s="44">
        <v>0</v>
      </c>
      <c r="K37" s="17"/>
      <c r="L37" s="60" t="e">
        <f>CONCATENATE(#REF!,F37)</f>
        <v>#REF!</v>
      </c>
      <c r="M37" s="60" t="str">
        <f t="shared" si="0"/>
        <v/>
      </c>
      <c r="N37" s="61" t="str">
        <f t="shared" si="2"/>
        <v>-</v>
      </c>
      <c r="O37" s="61"/>
      <c r="P37" s="61"/>
      <c r="Q37" s="61"/>
      <c r="R37" s="61"/>
      <c r="S37" s="61"/>
      <c r="T37" s="61"/>
    </row>
    <row r="38" spans="1:76" s="62" customFormat="1" ht="35.1" customHeight="1">
      <c r="A38" s="63"/>
      <c r="B38" s="64"/>
      <c r="C38" s="65"/>
      <c r="D38" s="65"/>
      <c r="E38" s="65"/>
      <c r="F38" s="65"/>
      <c r="G38" s="65"/>
      <c r="H38" s="44"/>
      <c r="I38" s="44"/>
      <c r="J38" s="44"/>
      <c r="K38" s="17"/>
      <c r="L38" s="60" t="e">
        <f>CONCATENATE(#REF!,F38)</f>
        <v>#REF!</v>
      </c>
      <c r="M38" s="60" t="str">
        <f t="shared" si="0"/>
        <v/>
      </c>
      <c r="N38" s="61" t="str">
        <f t="shared" si="2"/>
        <v>-</v>
      </c>
      <c r="O38" s="61"/>
      <c r="P38" s="61"/>
      <c r="Q38" s="61"/>
      <c r="R38" s="61"/>
      <c r="S38" s="61"/>
      <c r="T38" s="61"/>
    </row>
    <row r="39" spans="1:76" s="62" customFormat="1" ht="35.1" customHeight="1">
      <c r="A39" s="63"/>
      <c r="B39" s="64"/>
      <c r="C39" s="65"/>
      <c r="D39" s="65"/>
      <c r="E39" s="65"/>
      <c r="F39" s="65"/>
      <c r="G39" s="65"/>
      <c r="H39" s="44"/>
      <c r="I39" s="44"/>
      <c r="J39" s="44"/>
      <c r="K39" s="17"/>
      <c r="L39" s="60" t="e">
        <f>CONCATENATE(#REF!,F39)</f>
        <v>#REF!</v>
      </c>
      <c r="M39" s="60" t="str">
        <f t="shared" si="0"/>
        <v/>
      </c>
      <c r="N39" s="61" t="str">
        <f t="shared" si="2"/>
        <v>-</v>
      </c>
      <c r="O39" s="61"/>
      <c r="P39" s="61"/>
      <c r="Q39" s="61"/>
      <c r="R39" s="61"/>
      <c r="S39" s="61"/>
      <c r="T39" s="61"/>
    </row>
    <row r="40" spans="1:76" s="62" customFormat="1" ht="35.1" customHeight="1">
      <c r="A40" s="63"/>
      <c r="B40" s="64"/>
      <c r="C40" s="65"/>
      <c r="D40" s="65"/>
      <c r="E40" s="65"/>
      <c r="F40" s="65"/>
      <c r="G40" s="65"/>
      <c r="H40" s="44"/>
      <c r="I40" s="44"/>
      <c r="J40" s="44"/>
      <c r="K40" s="17"/>
      <c r="L40" s="60" t="e">
        <f>CONCATENATE(#REF!,F40)</f>
        <v>#REF!</v>
      </c>
      <c r="M40" s="60" t="str">
        <f t="shared" si="0"/>
        <v/>
      </c>
      <c r="N40" s="61" t="str">
        <f t="shared" si="2"/>
        <v>-</v>
      </c>
      <c r="O40" s="61"/>
      <c r="P40" s="61"/>
      <c r="Q40" s="61"/>
      <c r="R40" s="61"/>
      <c r="S40" s="61"/>
      <c r="T40" s="61"/>
    </row>
    <row r="41" spans="1:76" s="62" customFormat="1" ht="35.1" customHeight="1">
      <c r="A41" s="63"/>
      <c r="B41" s="64"/>
      <c r="C41" s="65"/>
      <c r="D41" s="65"/>
      <c r="E41" s="65"/>
      <c r="F41" s="65"/>
      <c r="G41" s="65"/>
      <c r="H41" s="44"/>
      <c r="I41" s="44"/>
      <c r="J41" s="44"/>
      <c r="K41" s="17"/>
      <c r="L41" s="60" t="e">
        <f>CONCATENATE(#REF!,F41)</f>
        <v>#REF!</v>
      </c>
      <c r="M41" s="60" t="str">
        <f t="shared" si="0"/>
        <v/>
      </c>
      <c r="N41" s="61" t="str">
        <f t="shared" si="2"/>
        <v>-</v>
      </c>
      <c r="O41" s="61"/>
      <c r="P41" s="61"/>
      <c r="Q41" s="61"/>
      <c r="R41" s="61"/>
      <c r="S41" s="61"/>
      <c r="T41" s="61"/>
    </row>
    <row r="42" spans="1:76" s="62" customFormat="1" ht="35.1" customHeight="1">
      <c r="A42" s="63"/>
      <c r="B42" s="64"/>
      <c r="C42" s="65"/>
      <c r="D42" s="65"/>
      <c r="E42" s="65"/>
      <c r="F42" s="65"/>
      <c r="G42" s="65"/>
      <c r="H42" s="44"/>
      <c r="I42" s="44"/>
      <c r="J42" s="44"/>
      <c r="K42" s="17"/>
      <c r="L42" s="60" t="e">
        <f>CONCATENATE(#REF!,F42)</f>
        <v>#REF!</v>
      </c>
      <c r="M42" s="60" t="str">
        <f t="shared" si="0"/>
        <v/>
      </c>
      <c r="N42" s="61" t="str">
        <f t="shared" si="2"/>
        <v>-</v>
      </c>
      <c r="O42" s="61"/>
      <c r="P42" s="61"/>
      <c r="Q42" s="61"/>
      <c r="R42" s="61"/>
      <c r="S42" s="61"/>
      <c r="T42" s="61"/>
    </row>
    <row r="43" spans="1:76" s="62" customFormat="1" ht="35.1" customHeight="1">
      <c r="A43" s="63"/>
      <c r="B43" s="64"/>
      <c r="C43" s="65"/>
      <c r="D43" s="65"/>
      <c r="E43" s="65"/>
      <c r="F43" s="65"/>
      <c r="G43" s="65"/>
      <c r="H43" s="44"/>
      <c r="I43" s="44"/>
      <c r="J43" s="44"/>
      <c r="K43" s="17"/>
      <c r="L43" s="60" t="e">
        <f>CONCATENATE(#REF!,F43)</f>
        <v>#REF!</v>
      </c>
      <c r="M43" s="60" t="str">
        <f t="shared" si="0"/>
        <v/>
      </c>
      <c r="N43" s="61" t="str">
        <f t="shared" si="2"/>
        <v>-</v>
      </c>
      <c r="O43" s="61"/>
      <c r="P43" s="61"/>
      <c r="Q43" s="61"/>
      <c r="R43" s="61"/>
      <c r="S43" s="61"/>
      <c r="T43" s="61"/>
    </row>
    <row r="44" spans="1:76" s="62" customFormat="1" ht="35.1" customHeight="1">
      <c r="A44" s="63"/>
      <c r="B44" s="64"/>
      <c r="C44" s="65"/>
      <c r="D44" s="65"/>
      <c r="E44" s="65"/>
      <c r="F44" s="65"/>
      <c r="G44" s="65"/>
      <c r="H44" s="44"/>
      <c r="I44" s="44"/>
      <c r="J44" s="44"/>
      <c r="K44" s="17"/>
      <c r="L44" s="60" t="e">
        <f>CONCATENATE(#REF!,F44)</f>
        <v>#REF!</v>
      </c>
      <c r="M44" s="60" t="str">
        <f t="shared" si="0"/>
        <v/>
      </c>
      <c r="N44" s="61" t="str">
        <f t="shared" si="2"/>
        <v>-</v>
      </c>
      <c r="O44" s="61"/>
      <c r="P44" s="61"/>
      <c r="Q44" s="61"/>
      <c r="R44" s="61"/>
      <c r="S44" s="61"/>
      <c r="T44" s="61"/>
    </row>
    <row r="45" spans="1:76" s="62" customFormat="1" ht="35.1" customHeight="1">
      <c r="A45" s="63"/>
      <c r="B45" s="64"/>
      <c r="C45" s="65"/>
      <c r="D45" s="65"/>
      <c r="E45" s="65"/>
      <c r="F45" s="65"/>
      <c r="G45" s="65"/>
      <c r="H45" s="44"/>
      <c r="I45" s="44"/>
      <c r="J45" s="44"/>
      <c r="K45" s="17"/>
      <c r="L45" s="60" t="e">
        <f>CONCATENATE(#REF!,F45)</f>
        <v>#REF!</v>
      </c>
      <c r="M45" s="60" t="str">
        <f t="shared" si="0"/>
        <v/>
      </c>
      <c r="N45" s="61" t="str">
        <f t="shared" si="2"/>
        <v>-</v>
      </c>
      <c r="O45" s="61"/>
      <c r="P45" s="61"/>
      <c r="Q45" s="61"/>
      <c r="R45" s="61"/>
      <c r="S45" s="61"/>
      <c r="T45" s="61"/>
    </row>
    <row r="46" spans="1:76" s="62" customFormat="1" ht="35.1" customHeight="1">
      <c r="A46" s="77"/>
      <c r="B46" s="78"/>
      <c r="C46" s="79"/>
      <c r="D46" s="79"/>
      <c r="E46" s="79"/>
      <c r="F46" s="79"/>
      <c r="G46" s="79"/>
      <c r="H46" s="90"/>
      <c r="I46" s="90"/>
      <c r="J46" s="90"/>
      <c r="K46" s="91"/>
      <c r="L46" s="60" t="e">
        <f>CONCATENATE(#REF!,F46)</f>
        <v>#REF!</v>
      </c>
      <c r="M46" s="60" t="str">
        <f t="shared" si="0"/>
        <v/>
      </c>
      <c r="N46" s="61" t="str">
        <f t="shared" si="2"/>
        <v>-</v>
      </c>
      <c r="O46" s="61"/>
      <c r="P46" s="61"/>
      <c r="Q46" s="61"/>
      <c r="R46" s="61"/>
      <c r="S46" s="61"/>
      <c r="T46" s="61"/>
    </row>
    <row r="47" spans="1:76" s="73" customFormat="1" ht="35.1" customHeight="1">
      <c r="A47" s="66" t="s">
        <v>41</v>
      </c>
      <c r="B47" s="67"/>
      <c r="C47" s="68"/>
      <c r="D47" s="69"/>
      <c r="E47" s="69">
        <f>SUM(E27:E46)</f>
        <v>0</v>
      </c>
      <c r="F47" s="70"/>
      <c r="G47" s="70"/>
      <c r="H47" s="70"/>
      <c r="I47" s="70"/>
      <c r="J47" s="70"/>
      <c r="K47" s="71"/>
      <c r="L47" s="60" t="e">
        <f>CONCATENATE(#REF!,F47)</f>
        <v>#REF!</v>
      </c>
      <c r="M47" s="60" t="str">
        <f t="shared" si="0"/>
        <v/>
      </c>
      <c r="N47" s="61"/>
      <c r="O47" s="61"/>
      <c r="P47" s="61"/>
      <c r="Q47" s="61"/>
      <c r="R47" s="61"/>
      <c r="S47" s="61"/>
      <c r="T47" s="61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</row>
    <row r="48" spans="1:76" s="62" customFormat="1" ht="35.1" customHeight="1">
      <c r="A48" s="87"/>
      <c r="B48" s="82"/>
      <c r="C48" s="80"/>
      <c r="D48" s="59"/>
      <c r="E48" s="59"/>
      <c r="F48" s="80"/>
      <c r="G48" s="80"/>
      <c r="H48" s="43"/>
      <c r="I48" s="43"/>
      <c r="J48" s="43"/>
      <c r="K48" s="16"/>
      <c r="L48" s="60" t="e">
        <f>CONCATENATE(#REF!,F48)</f>
        <v>#REF!</v>
      </c>
      <c r="M48" s="60" t="str">
        <f t="shared" si="0"/>
        <v/>
      </c>
      <c r="N48" s="61" t="str">
        <f t="shared" ref="N48:N67" si="3">IF(D48&gt;=E48,"-","err")</f>
        <v>-</v>
      </c>
      <c r="O48" s="61"/>
      <c r="P48" s="61"/>
      <c r="Q48" s="61"/>
      <c r="R48" s="61"/>
      <c r="S48" s="61"/>
      <c r="T48" s="61"/>
    </row>
    <row r="49" spans="1:20" s="62" customFormat="1" ht="35.1" customHeight="1">
      <c r="A49" s="88"/>
      <c r="B49" s="83"/>
      <c r="C49" s="65"/>
      <c r="D49" s="65"/>
      <c r="E49" s="65"/>
      <c r="F49" s="65"/>
      <c r="G49" s="65"/>
      <c r="H49" s="44"/>
      <c r="I49" s="44">
        <v>0</v>
      </c>
      <c r="J49" s="44">
        <v>0</v>
      </c>
      <c r="K49" s="17"/>
      <c r="L49" s="60" t="e">
        <f>CONCATENATE(#REF!,F49)</f>
        <v>#REF!</v>
      </c>
      <c r="M49" s="60" t="str">
        <f t="shared" si="0"/>
        <v/>
      </c>
      <c r="N49" s="61" t="str">
        <f t="shared" si="3"/>
        <v>-</v>
      </c>
      <c r="O49" s="61"/>
      <c r="P49" s="61"/>
      <c r="Q49" s="61"/>
      <c r="R49" s="61"/>
      <c r="S49" s="61"/>
      <c r="T49" s="61"/>
    </row>
    <row r="50" spans="1:20" s="62" customFormat="1" ht="35.1" customHeight="1">
      <c r="A50" s="88"/>
      <c r="B50" s="86"/>
      <c r="C50" s="65"/>
      <c r="D50" s="65"/>
      <c r="E50" s="65"/>
      <c r="F50" s="65"/>
      <c r="G50" s="65"/>
      <c r="H50" s="44"/>
      <c r="I50" s="44">
        <v>0</v>
      </c>
      <c r="J50" s="44">
        <v>0</v>
      </c>
      <c r="K50" s="17"/>
      <c r="L50" s="60" t="e">
        <f>CONCATENATE(#REF!,F50)</f>
        <v>#REF!</v>
      </c>
      <c r="M50" s="60" t="str">
        <f t="shared" si="0"/>
        <v/>
      </c>
      <c r="N50" s="61" t="str">
        <f t="shared" si="3"/>
        <v>-</v>
      </c>
      <c r="O50" s="61"/>
      <c r="P50" s="61"/>
      <c r="Q50" s="61"/>
      <c r="R50" s="61"/>
      <c r="S50" s="61"/>
      <c r="T50" s="61"/>
    </row>
    <row r="51" spans="1:20" s="62" customFormat="1" ht="35.1" customHeight="1">
      <c r="A51" s="88"/>
      <c r="B51" s="86"/>
      <c r="C51" s="65"/>
      <c r="D51" s="65"/>
      <c r="E51" s="65"/>
      <c r="F51" s="65"/>
      <c r="G51" s="65"/>
      <c r="H51" s="44"/>
      <c r="I51" s="44">
        <v>0</v>
      </c>
      <c r="J51" s="44">
        <v>0</v>
      </c>
      <c r="K51" s="17"/>
      <c r="L51" s="60" t="e">
        <f>CONCATENATE(#REF!,F51)</f>
        <v>#REF!</v>
      </c>
      <c r="M51" s="60" t="str">
        <f t="shared" si="0"/>
        <v/>
      </c>
      <c r="N51" s="61" t="str">
        <f t="shared" si="3"/>
        <v>-</v>
      </c>
      <c r="O51" s="61"/>
      <c r="P51" s="61"/>
      <c r="Q51" s="61"/>
      <c r="R51" s="61"/>
      <c r="S51" s="61"/>
      <c r="T51" s="61"/>
    </row>
    <row r="52" spans="1:20" s="62" customFormat="1" ht="35.1" customHeight="1">
      <c r="A52" s="88"/>
      <c r="B52" s="86"/>
      <c r="C52" s="65"/>
      <c r="D52" s="65"/>
      <c r="E52" s="65"/>
      <c r="F52" s="65"/>
      <c r="G52" s="65"/>
      <c r="H52" s="44"/>
      <c r="I52" s="44">
        <v>0</v>
      </c>
      <c r="J52" s="44">
        <v>0</v>
      </c>
      <c r="K52" s="17"/>
      <c r="L52" s="60" t="e">
        <f>CONCATENATE(#REF!,F52)</f>
        <v>#REF!</v>
      </c>
      <c r="M52" s="60" t="str">
        <f t="shared" si="0"/>
        <v/>
      </c>
      <c r="N52" s="61" t="str">
        <f t="shared" si="3"/>
        <v>-</v>
      </c>
      <c r="O52" s="61"/>
      <c r="P52" s="61"/>
      <c r="Q52" s="61"/>
      <c r="R52" s="61"/>
      <c r="S52" s="61"/>
      <c r="T52" s="61"/>
    </row>
    <row r="53" spans="1:20" s="62" customFormat="1" ht="35.1" customHeight="1">
      <c r="A53" s="63"/>
      <c r="B53" s="83"/>
      <c r="C53" s="65"/>
      <c r="D53" s="65"/>
      <c r="E53" s="65"/>
      <c r="F53" s="65"/>
      <c r="G53" s="65"/>
      <c r="H53" s="44"/>
      <c r="I53" s="44">
        <v>0</v>
      </c>
      <c r="J53" s="44">
        <v>0</v>
      </c>
      <c r="K53" s="17"/>
      <c r="L53" s="60" t="e">
        <f>CONCATENATE(#REF!,F53)</f>
        <v>#REF!</v>
      </c>
      <c r="M53" s="60" t="str">
        <f t="shared" si="0"/>
        <v/>
      </c>
      <c r="N53" s="61" t="str">
        <f t="shared" si="3"/>
        <v>-</v>
      </c>
      <c r="O53" s="61"/>
      <c r="P53" s="61"/>
      <c r="Q53" s="61"/>
      <c r="R53" s="61"/>
      <c r="S53" s="61"/>
      <c r="T53" s="61"/>
    </row>
    <row r="54" spans="1:20" s="62" customFormat="1" ht="35.1" customHeight="1">
      <c r="A54" s="63"/>
      <c r="B54" s="83"/>
      <c r="C54" s="81"/>
      <c r="D54" s="65"/>
      <c r="E54" s="65"/>
      <c r="F54" s="81"/>
      <c r="G54" s="81"/>
      <c r="H54" s="44"/>
      <c r="I54" s="44"/>
      <c r="J54" s="44"/>
      <c r="K54" s="17"/>
      <c r="L54" s="60" t="e">
        <f>CONCATENATE(#REF!,F54)</f>
        <v>#REF!</v>
      </c>
      <c r="M54" s="60" t="str">
        <f t="shared" si="0"/>
        <v/>
      </c>
      <c r="N54" s="61" t="str">
        <f t="shared" si="3"/>
        <v>-</v>
      </c>
      <c r="O54" s="61"/>
      <c r="P54" s="61"/>
      <c r="Q54" s="61"/>
      <c r="R54" s="61"/>
      <c r="S54" s="61"/>
      <c r="T54" s="61"/>
    </row>
    <row r="55" spans="1:20" s="62" customFormat="1" ht="35.1" customHeight="1">
      <c r="A55" s="63"/>
      <c r="B55" s="83"/>
      <c r="C55" s="81"/>
      <c r="D55" s="65"/>
      <c r="E55" s="65"/>
      <c r="F55" s="81"/>
      <c r="G55" s="81"/>
      <c r="H55" s="44"/>
      <c r="I55" s="44">
        <v>0</v>
      </c>
      <c r="J55" s="44">
        <v>0</v>
      </c>
      <c r="K55" s="17"/>
      <c r="L55" s="60" t="e">
        <f>CONCATENATE(#REF!,F55)</f>
        <v>#REF!</v>
      </c>
      <c r="M55" s="60" t="str">
        <f t="shared" si="0"/>
        <v/>
      </c>
      <c r="N55" s="61" t="str">
        <f t="shared" si="3"/>
        <v>-</v>
      </c>
      <c r="O55" s="61"/>
      <c r="P55" s="61"/>
      <c r="Q55" s="61"/>
      <c r="R55" s="61"/>
      <c r="S55" s="61"/>
      <c r="T55" s="61"/>
    </row>
    <row r="56" spans="1:20" s="62" customFormat="1" ht="35.1" customHeight="1">
      <c r="A56" s="63"/>
      <c r="B56" s="83"/>
      <c r="C56" s="81"/>
      <c r="D56" s="65"/>
      <c r="E56" s="65"/>
      <c r="F56" s="81"/>
      <c r="G56" s="81"/>
      <c r="H56" s="44">
        <v>0</v>
      </c>
      <c r="I56" s="44">
        <v>0</v>
      </c>
      <c r="J56" s="44">
        <v>0</v>
      </c>
      <c r="K56" s="17"/>
      <c r="L56" s="60" t="e">
        <f>CONCATENATE(#REF!,F56)</f>
        <v>#REF!</v>
      </c>
      <c r="M56" s="60" t="str">
        <f t="shared" si="0"/>
        <v/>
      </c>
      <c r="N56" s="61" t="str">
        <f t="shared" si="3"/>
        <v>-</v>
      </c>
      <c r="O56" s="61"/>
      <c r="P56" s="61"/>
      <c r="Q56" s="61"/>
      <c r="R56" s="61"/>
      <c r="S56" s="61"/>
      <c r="T56" s="61"/>
    </row>
    <row r="57" spans="1:20" s="62" customFormat="1" ht="35.1" customHeight="1">
      <c r="A57" s="63"/>
      <c r="B57" s="83"/>
      <c r="C57" s="81"/>
      <c r="D57" s="65"/>
      <c r="E57" s="65"/>
      <c r="F57" s="81"/>
      <c r="G57" s="81"/>
      <c r="H57" s="44">
        <v>0</v>
      </c>
      <c r="I57" s="44">
        <v>0</v>
      </c>
      <c r="J57" s="44">
        <v>0</v>
      </c>
      <c r="K57" s="17"/>
      <c r="L57" s="60" t="e">
        <f>CONCATENATE(#REF!,F57)</f>
        <v>#REF!</v>
      </c>
      <c r="M57" s="60" t="str">
        <f t="shared" si="0"/>
        <v/>
      </c>
      <c r="N57" s="61" t="str">
        <f t="shared" si="3"/>
        <v>-</v>
      </c>
      <c r="O57" s="61"/>
      <c r="P57" s="61"/>
      <c r="Q57" s="61"/>
      <c r="R57" s="61"/>
      <c r="S57" s="61"/>
      <c r="T57" s="61"/>
    </row>
    <row r="58" spans="1:20" s="62" customFormat="1" ht="35.1" customHeight="1">
      <c r="A58" s="63"/>
      <c r="B58" s="83"/>
      <c r="C58" s="81"/>
      <c r="D58" s="65"/>
      <c r="E58" s="65"/>
      <c r="F58" s="81"/>
      <c r="G58" s="81"/>
      <c r="H58" s="44">
        <v>0</v>
      </c>
      <c r="I58" s="44">
        <v>0</v>
      </c>
      <c r="J58" s="44">
        <v>0</v>
      </c>
      <c r="K58" s="17"/>
      <c r="L58" s="60" t="e">
        <f>CONCATENATE(#REF!,F58)</f>
        <v>#REF!</v>
      </c>
      <c r="M58" s="60" t="str">
        <f t="shared" si="0"/>
        <v/>
      </c>
      <c r="N58" s="61" t="str">
        <f t="shared" si="3"/>
        <v>-</v>
      </c>
      <c r="O58" s="61"/>
      <c r="P58" s="61"/>
      <c r="Q58" s="61"/>
      <c r="R58" s="61"/>
      <c r="S58" s="61"/>
      <c r="T58" s="61"/>
    </row>
    <row r="59" spans="1:20" s="62" customFormat="1" ht="35.1" customHeight="1">
      <c r="A59" s="63"/>
      <c r="B59" s="64"/>
      <c r="C59" s="65"/>
      <c r="D59" s="65"/>
      <c r="E59" s="65"/>
      <c r="F59" s="65"/>
      <c r="G59" s="65"/>
      <c r="H59" s="44"/>
      <c r="I59" s="44"/>
      <c r="J59" s="44"/>
      <c r="K59" s="17"/>
      <c r="L59" s="60" t="e">
        <f>CONCATENATE(#REF!,F59)</f>
        <v>#REF!</v>
      </c>
      <c r="M59" s="60" t="str">
        <f t="shared" si="0"/>
        <v/>
      </c>
      <c r="N59" s="61" t="str">
        <f t="shared" si="3"/>
        <v>-</v>
      </c>
      <c r="O59" s="61"/>
      <c r="P59" s="61"/>
      <c r="Q59" s="61"/>
      <c r="R59" s="61"/>
      <c r="S59" s="61"/>
      <c r="T59" s="61"/>
    </row>
    <row r="60" spans="1:20" s="62" customFormat="1" ht="35.1" customHeight="1">
      <c r="A60" s="63"/>
      <c r="B60" s="64"/>
      <c r="C60" s="65"/>
      <c r="D60" s="65"/>
      <c r="E60" s="65"/>
      <c r="F60" s="65"/>
      <c r="G60" s="65"/>
      <c r="H60" s="44"/>
      <c r="I60" s="44"/>
      <c r="J60" s="44"/>
      <c r="K60" s="17"/>
      <c r="L60" s="60" t="e">
        <f>CONCATENATE(#REF!,F60)</f>
        <v>#REF!</v>
      </c>
      <c r="M60" s="60" t="str">
        <f t="shared" si="0"/>
        <v/>
      </c>
      <c r="N60" s="61" t="str">
        <f t="shared" si="3"/>
        <v>-</v>
      </c>
      <c r="O60" s="61"/>
      <c r="P60" s="61"/>
      <c r="Q60" s="61"/>
      <c r="R60" s="61"/>
      <c r="S60" s="61"/>
      <c r="T60" s="61"/>
    </row>
    <row r="61" spans="1:20" s="62" customFormat="1" ht="35.1" customHeight="1">
      <c r="A61" s="63"/>
      <c r="B61" s="64"/>
      <c r="C61" s="65"/>
      <c r="D61" s="65"/>
      <c r="E61" s="65"/>
      <c r="F61" s="65"/>
      <c r="G61" s="65"/>
      <c r="H61" s="44"/>
      <c r="I61" s="44"/>
      <c r="J61" s="44"/>
      <c r="K61" s="17"/>
      <c r="L61" s="60" t="e">
        <f>CONCATENATE(#REF!,F61)</f>
        <v>#REF!</v>
      </c>
      <c r="M61" s="60" t="str">
        <f t="shared" si="0"/>
        <v/>
      </c>
      <c r="N61" s="61" t="str">
        <f t="shared" si="3"/>
        <v>-</v>
      </c>
      <c r="O61" s="61"/>
      <c r="P61" s="61"/>
      <c r="Q61" s="61"/>
      <c r="R61" s="61"/>
      <c r="S61" s="61"/>
      <c r="T61" s="61"/>
    </row>
    <row r="62" spans="1:20" s="62" customFormat="1" ht="35.1" customHeight="1">
      <c r="A62" s="63"/>
      <c r="B62" s="64"/>
      <c r="C62" s="65"/>
      <c r="D62" s="65"/>
      <c r="E62" s="65"/>
      <c r="F62" s="65"/>
      <c r="G62" s="65"/>
      <c r="H62" s="44"/>
      <c r="I62" s="44"/>
      <c r="J62" s="44"/>
      <c r="K62" s="17"/>
      <c r="L62" s="60" t="e">
        <f>CONCATENATE(#REF!,F62)</f>
        <v>#REF!</v>
      </c>
      <c r="M62" s="60" t="str">
        <f t="shared" si="0"/>
        <v/>
      </c>
      <c r="N62" s="61" t="str">
        <f t="shared" si="3"/>
        <v>-</v>
      </c>
      <c r="O62" s="61"/>
      <c r="P62" s="61"/>
      <c r="Q62" s="61"/>
      <c r="R62" s="61"/>
      <c r="S62" s="61"/>
      <c r="T62" s="61"/>
    </row>
    <row r="63" spans="1:20" s="62" customFormat="1" ht="35.1" customHeight="1">
      <c r="A63" s="63"/>
      <c r="B63" s="64"/>
      <c r="C63" s="65"/>
      <c r="D63" s="65"/>
      <c r="E63" s="65"/>
      <c r="F63" s="65"/>
      <c r="G63" s="65"/>
      <c r="H63" s="44"/>
      <c r="I63" s="44"/>
      <c r="J63" s="44"/>
      <c r="K63" s="17"/>
      <c r="L63" s="60" t="e">
        <f>CONCATENATE(#REF!,F63)</f>
        <v>#REF!</v>
      </c>
      <c r="M63" s="60" t="str">
        <f t="shared" si="0"/>
        <v/>
      </c>
      <c r="N63" s="61" t="str">
        <f t="shared" si="3"/>
        <v>-</v>
      </c>
      <c r="O63" s="61"/>
      <c r="P63" s="61"/>
      <c r="Q63" s="61"/>
      <c r="R63" s="61"/>
      <c r="S63" s="61"/>
      <c r="T63" s="61"/>
    </row>
    <row r="64" spans="1:20" s="62" customFormat="1" ht="35.1" customHeight="1">
      <c r="A64" s="63"/>
      <c r="B64" s="64"/>
      <c r="C64" s="65"/>
      <c r="D64" s="65"/>
      <c r="E64" s="65"/>
      <c r="F64" s="65"/>
      <c r="G64" s="65"/>
      <c r="H64" s="44"/>
      <c r="I64" s="44"/>
      <c r="J64" s="44"/>
      <c r="K64" s="17"/>
      <c r="L64" s="60" t="e">
        <f>CONCATENATE(#REF!,F64)</f>
        <v>#REF!</v>
      </c>
      <c r="M64" s="60" t="str">
        <f t="shared" si="0"/>
        <v/>
      </c>
      <c r="N64" s="61" t="str">
        <f t="shared" si="3"/>
        <v>-</v>
      </c>
      <c r="O64" s="61"/>
      <c r="P64" s="61"/>
      <c r="Q64" s="61"/>
      <c r="R64" s="61"/>
      <c r="S64" s="61"/>
      <c r="T64" s="61"/>
    </row>
    <row r="65" spans="1:76" s="62" customFormat="1" ht="35.1" customHeight="1">
      <c r="A65" s="63"/>
      <c r="B65" s="64"/>
      <c r="C65" s="65"/>
      <c r="D65" s="65"/>
      <c r="E65" s="65"/>
      <c r="F65" s="65"/>
      <c r="G65" s="65"/>
      <c r="H65" s="44"/>
      <c r="I65" s="44"/>
      <c r="J65" s="44"/>
      <c r="K65" s="17"/>
      <c r="L65" s="60" t="e">
        <f>CONCATENATE(#REF!,F65)</f>
        <v>#REF!</v>
      </c>
      <c r="M65" s="60" t="str">
        <f t="shared" si="0"/>
        <v/>
      </c>
      <c r="N65" s="61" t="str">
        <f t="shared" si="3"/>
        <v>-</v>
      </c>
      <c r="O65" s="61"/>
      <c r="P65" s="61"/>
      <c r="Q65" s="61"/>
      <c r="R65" s="61"/>
      <c r="S65" s="61"/>
      <c r="T65" s="61"/>
    </row>
    <row r="66" spans="1:76" s="62" customFormat="1" ht="35.1" customHeight="1">
      <c r="A66" s="63"/>
      <c r="B66" s="64"/>
      <c r="C66" s="65"/>
      <c r="D66" s="65"/>
      <c r="E66" s="65"/>
      <c r="F66" s="65"/>
      <c r="G66" s="65"/>
      <c r="H66" s="44"/>
      <c r="I66" s="44"/>
      <c r="J66" s="44"/>
      <c r="K66" s="17"/>
      <c r="L66" s="60" t="e">
        <f>CONCATENATE(#REF!,F66)</f>
        <v>#REF!</v>
      </c>
      <c r="M66" s="60" t="str">
        <f t="shared" si="0"/>
        <v/>
      </c>
      <c r="N66" s="61" t="str">
        <f t="shared" si="3"/>
        <v>-</v>
      </c>
      <c r="O66" s="61"/>
      <c r="P66" s="61"/>
      <c r="Q66" s="61"/>
      <c r="R66" s="61"/>
      <c r="S66" s="61"/>
      <c r="T66" s="61"/>
    </row>
    <row r="67" spans="1:76" s="62" customFormat="1" ht="35.1" customHeight="1">
      <c r="A67" s="77"/>
      <c r="B67" s="78"/>
      <c r="C67" s="79"/>
      <c r="D67" s="79"/>
      <c r="E67" s="79"/>
      <c r="F67" s="79"/>
      <c r="G67" s="79"/>
      <c r="H67" s="90"/>
      <c r="I67" s="90"/>
      <c r="J67" s="90"/>
      <c r="K67" s="91"/>
      <c r="L67" s="60" t="e">
        <f>CONCATENATE(#REF!,F67)</f>
        <v>#REF!</v>
      </c>
      <c r="M67" s="60" t="str">
        <f t="shared" si="0"/>
        <v/>
      </c>
      <c r="N67" s="61" t="str">
        <f t="shared" si="3"/>
        <v>-</v>
      </c>
      <c r="O67" s="61"/>
      <c r="P67" s="61"/>
      <c r="Q67" s="61"/>
      <c r="R67" s="61"/>
      <c r="S67" s="61"/>
      <c r="T67" s="61"/>
    </row>
    <row r="68" spans="1:76" s="73" customFormat="1" ht="35.1" customHeight="1">
      <c r="A68" s="66" t="s">
        <v>41</v>
      </c>
      <c r="B68" s="67"/>
      <c r="C68" s="68"/>
      <c r="D68" s="69"/>
      <c r="E68" s="69">
        <f>SUM(E48:E67)</f>
        <v>0</v>
      </c>
      <c r="F68" s="70"/>
      <c r="G68" s="70"/>
      <c r="H68" s="70"/>
      <c r="I68" s="70"/>
      <c r="J68" s="70"/>
      <c r="K68" s="71"/>
      <c r="L68" s="60" t="e">
        <f>CONCATENATE(#REF!,F68)</f>
        <v>#REF!</v>
      </c>
      <c r="M68" s="60" t="str">
        <f t="shared" si="0"/>
        <v/>
      </c>
      <c r="N68" s="61"/>
      <c r="O68" s="61"/>
      <c r="P68" s="61"/>
      <c r="Q68" s="61"/>
      <c r="R68" s="61"/>
      <c r="S68" s="61"/>
      <c r="T68" s="61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</row>
    <row r="69" spans="1:76" s="62" customFormat="1" ht="35.1" customHeight="1">
      <c r="A69" s="87"/>
      <c r="B69" s="82"/>
      <c r="C69" s="80"/>
      <c r="D69" s="59"/>
      <c r="E69" s="59"/>
      <c r="F69" s="80"/>
      <c r="G69" s="80"/>
      <c r="H69" s="43"/>
      <c r="I69" s="43"/>
      <c r="J69" s="43"/>
      <c r="K69" s="16"/>
      <c r="L69" s="60" t="e">
        <f>CONCATENATE(#REF!,F69)</f>
        <v>#REF!</v>
      </c>
      <c r="M69" s="60" t="str">
        <f t="shared" si="0"/>
        <v/>
      </c>
      <c r="N69" s="61" t="str">
        <f t="shared" ref="N69:N88" si="4">IF(D69&gt;=E69,"-","err")</f>
        <v>-</v>
      </c>
      <c r="O69" s="61"/>
      <c r="P69" s="61"/>
      <c r="Q69" s="61"/>
      <c r="R69" s="61"/>
      <c r="S69" s="61"/>
      <c r="T69" s="61"/>
    </row>
    <row r="70" spans="1:76" s="62" customFormat="1" ht="35.1" customHeight="1">
      <c r="A70" s="88"/>
      <c r="B70" s="83"/>
      <c r="C70" s="65"/>
      <c r="D70" s="65"/>
      <c r="E70" s="65"/>
      <c r="F70" s="65"/>
      <c r="G70" s="65"/>
      <c r="H70" s="44"/>
      <c r="I70" s="44">
        <v>0</v>
      </c>
      <c r="J70" s="44">
        <v>0</v>
      </c>
      <c r="K70" s="17"/>
      <c r="L70" s="60" t="e">
        <f>CONCATENATE(#REF!,F70)</f>
        <v>#REF!</v>
      </c>
      <c r="M70" s="60" t="str">
        <f t="shared" ref="M70:M133" si="5">CONCATENATE(C70,F70)</f>
        <v/>
      </c>
      <c r="N70" s="61" t="str">
        <f t="shared" si="4"/>
        <v>-</v>
      </c>
      <c r="O70" s="61"/>
      <c r="P70" s="61"/>
      <c r="Q70" s="61"/>
      <c r="R70" s="61"/>
      <c r="S70" s="61"/>
      <c r="T70" s="61"/>
    </row>
    <row r="71" spans="1:76" s="62" customFormat="1" ht="35.1" customHeight="1">
      <c r="A71" s="88"/>
      <c r="B71" s="86"/>
      <c r="C71" s="65"/>
      <c r="D71" s="65"/>
      <c r="E71" s="65"/>
      <c r="F71" s="65"/>
      <c r="G71" s="65"/>
      <c r="H71" s="44"/>
      <c r="I71" s="44">
        <v>0</v>
      </c>
      <c r="J71" s="44">
        <v>0</v>
      </c>
      <c r="K71" s="17"/>
      <c r="L71" s="60" t="e">
        <f>CONCATENATE(#REF!,F71)</f>
        <v>#REF!</v>
      </c>
      <c r="M71" s="60" t="str">
        <f t="shared" si="5"/>
        <v/>
      </c>
      <c r="N71" s="61" t="str">
        <f t="shared" si="4"/>
        <v>-</v>
      </c>
      <c r="O71" s="61"/>
      <c r="P71" s="61"/>
      <c r="Q71" s="61"/>
      <c r="R71" s="61"/>
      <c r="S71" s="61"/>
      <c r="T71" s="61"/>
    </row>
    <row r="72" spans="1:76" s="62" customFormat="1" ht="35.1" customHeight="1">
      <c r="A72" s="88"/>
      <c r="B72" s="86"/>
      <c r="C72" s="65"/>
      <c r="D72" s="65"/>
      <c r="E72" s="65"/>
      <c r="F72" s="65"/>
      <c r="G72" s="65"/>
      <c r="H72" s="44"/>
      <c r="I72" s="44">
        <v>0</v>
      </c>
      <c r="J72" s="44">
        <v>0</v>
      </c>
      <c r="K72" s="17"/>
      <c r="L72" s="60" t="e">
        <f>CONCATENATE(#REF!,F72)</f>
        <v>#REF!</v>
      </c>
      <c r="M72" s="60" t="str">
        <f t="shared" si="5"/>
        <v/>
      </c>
      <c r="N72" s="61" t="str">
        <f t="shared" si="4"/>
        <v>-</v>
      </c>
      <c r="O72" s="61"/>
      <c r="P72" s="61"/>
      <c r="Q72" s="61"/>
      <c r="R72" s="61"/>
      <c r="S72" s="61"/>
      <c r="T72" s="61"/>
    </row>
    <row r="73" spans="1:76" s="62" customFormat="1" ht="35.1" customHeight="1">
      <c r="A73" s="88"/>
      <c r="B73" s="86"/>
      <c r="C73" s="65"/>
      <c r="D73" s="65"/>
      <c r="E73" s="65"/>
      <c r="F73" s="65"/>
      <c r="G73" s="65"/>
      <c r="H73" s="44"/>
      <c r="I73" s="44">
        <v>0</v>
      </c>
      <c r="J73" s="44">
        <v>0</v>
      </c>
      <c r="K73" s="17"/>
      <c r="L73" s="60" t="e">
        <f>CONCATENATE(#REF!,F73)</f>
        <v>#REF!</v>
      </c>
      <c r="M73" s="60" t="str">
        <f t="shared" si="5"/>
        <v/>
      </c>
      <c r="N73" s="61" t="str">
        <f t="shared" si="4"/>
        <v>-</v>
      </c>
      <c r="O73" s="61"/>
      <c r="P73" s="61"/>
      <c r="Q73" s="61"/>
      <c r="R73" s="61"/>
      <c r="S73" s="61"/>
      <c r="T73" s="61"/>
    </row>
    <row r="74" spans="1:76" s="62" customFormat="1" ht="35.1" customHeight="1">
      <c r="A74" s="63"/>
      <c r="B74" s="83"/>
      <c r="C74" s="65"/>
      <c r="D74" s="65"/>
      <c r="E74" s="65"/>
      <c r="F74" s="65"/>
      <c r="G74" s="65"/>
      <c r="H74" s="44"/>
      <c r="I74" s="44">
        <v>0</v>
      </c>
      <c r="J74" s="44">
        <v>0</v>
      </c>
      <c r="K74" s="17"/>
      <c r="L74" s="60" t="e">
        <f>CONCATENATE(#REF!,F74)</f>
        <v>#REF!</v>
      </c>
      <c r="M74" s="60" t="str">
        <f t="shared" si="5"/>
        <v/>
      </c>
      <c r="N74" s="61" t="str">
        <f t="shared" si="4"/>
        <v>-</v>
      </c>
      <c r="O74" s="61"/>
      <c r="P74" s="61"/>
      <c r="Q74" s="61"/>
      <c r="R74" s="61"/>
      <c r="S74" s="61"/>
      <c r="T74" s="61"/>
    </row>
    <row r="75" spans="1:76" s="62" customFormat="1" ht="35.1" customHeight="1">
      <c r="A75" s="63"/>
      <c r="B75" s="83"/>
      <c r="C75" s="81"/>
      <c r="D75" s="65"/>
      <c r="E75" s="65"/>
      <c r="F75" s="81"/>
      <c r="G75" s="81"/>
      <c r="H75" s="44"/>
      <c r="I75" s="44"/>
      <c r="J75" s="44"/>
      <c r="K75" s="17"/>
      <c r="L75" s="60" t="e">
        <f>CONCATENATE(#REF!,F75)</f>
        <v>#REF!</v>
      </c>
      <c r="M75" s="60" t="str">
        <f t="shared" si="5"/>
        <v/>
      </c>
      <c r="N75" s="61" t="str">
        <f t="shared" si="4"/>
        <v>-</v>
      </c>
      <c r="O75" s="61"/>
      <c r="P75" s="61"/>
      <c r="Q75" s="61"/>
      <c r="R75" s="61"/>
      <c r="S75" s="61"/>
      <c r="T75" s="61"/>
    </row>
    <row r="76" spans="1:76" s="62" customFormat="1" ht="35.1" customHeight="1">
      <c r="A76" s="63"/>
      <c r="B76" s="83"/>
      <c r="C76" s="81"/>
      <c r="D76" s="65"/>
      <c r="E76" s="65"/>
      <c r="F76" s="81"/>
      <c r="G76" s="81"/>
      <c r="H76" s="44"/>
      <c r="I76" s="44">
        <v>0</v>
      </c>
      <c r="J76" s="44">
        <v>0</v>
      </c>
      <c r="K76" s="17"/>
      <c r="L76" s="60" t="e">
        <f>CONCATENATE(#REF!,F76)</f>
        <v>#REF!</v>
      </c>
      <c r="M76" s="60" t="str">
        <f t="shared" si="5"/>
        <v/>
      </c>
      <c r="N76" s="61" t="str">
        <f t="shared" si="4"/>
        <v>-</v>
      </c>
      <c r="O76" s="61"/>
      <c r="P76" s="61"/>
      <c r="Q76" s="61"/>
      <c r="R76" s="61"/>
      <c r="S76" s="61"/>
      <c r="T76" s="61"/>
    </row>
    <row r="77" spans="1:76" s="62" customFormat="1" ht="35.1" customHeight="1">
      <c r="A77" s="63"/>
      <c r="B77" s="83"/>
      <c r="C77" s="81"/>
      <c r="D77" s="65"/>
      <c r="E77" s="65"/>
      <c r="F77" s="81"/>
      <c r="G77" s="81"/>
      <c r="H77" s="44">
        <v>0</v>
      </c>
      <c r="I77" s="44">
        <v>0</v>
      </c>
      <c r="J77" s="44">
        <v>0</v>
      </c>
      <c r="K77" s="17"/>
      <c r="L77" s="60" t="e">
        <f>CONCATENATE(#REF!,F77)</f>
        <v>#REF!</v>
      </c>
      <c r="M77" s="60" t="str">
        <f t="shared" si="5"/>
        <v/>
      </c>
      <c r="N77" s="61" t="str">
        <f t="shared" si="4"/>
        <v>-</v>
      </c>
      <c r="O77" s="61"/>
      <c r="P77" s="61"/>
      <c r="Q77" s="61"/>
      <c r="R77" s="61"/>
      <c r="S77" s="61"/>
      <c r="T77" s="61"/>
    </row>
    <row r="78" spans="1:76" s="62" customFormat="1" ht="35.1" customHeight="1">
      <c r="A78" s="63"/>
      <c r="B78" s="83"/>
      <c r="C78" s="81"/>
      <c r="D78" s="65"/>
      <c r="E78" s="65"/>
      <c r="F78" s="81"/>
      <c r="G78" s="81"/>
      <c r="H78" s="44">
        <v>0</v>
      </c>
      <c r="I78" s="44">
        <v>0</v>
      </c>
      <c r="J78" s="44">
        <v>0</v>
      </c>
      <c r="K78" s="17"/>
      <c r="L78" s="60" t="e">
        <f>CONCATENATE(#REF!,F78)</f>
        <v>#REF!</v>
      </c>
      <c r="M78" s="60" t="str">
        <f t="shared" si="5"/>
        <v/>
      </c>
      <c r="N78" s="61" t="str">
        <f t="shared" si="4"/>
        <v>-</v>
      </c>
      <c r="O78" s="61"/>
      <c r="P78" s="61"/>
      <c r="Q78" s="61"/>
      <c r="R78" s="61"/>
      <c r="S78" s="61"/>
      <c r="T78" s="61"/>
    </row>
    <row r="79" spans="1:76" s="62" customFormat="1" ht="35.1" customHeight="1">
      <c r="A79" s="63"/>
      <c r="B79" s="83"/>
      <c r="C79" s="81"/>
      <c r="D79" s="65"/>
      <c r="E79" s="65"/>
      <c r="F79" s="81"/>
      <c r="G79" s="81"/>
      <c r="H79" s="44">
        <v>0</v>
      </c>
      <c r="I79" s="44">
        <v>0</v>
      </c>
      <c r="J79" s="44">
        <v>0</v>
      </c>
      <c r="K79" s="17"/>
      <c r="L79" s="60" t="e">
        <f>CONCATENATE(#REF!,F79)</f>
        <v>#REF!</v>
      </c>
      <c r="M79" s="60" t="str">
        <f t="shared" si="5"/>
        <v/>
      </c>
      <c r="N79" s="61" t="str">
        <f t="shared" si="4"/>
        <v>-</v>
      </c>
      <c r="O79" s="61"/>
      <c r="P79" s="61"/>
      <c r="Q79" s="61"/>
      <c r="R79" s="61"/>
      <c r="S79" s="61"/>
      <c r="T79" s="61"/>
    </row>
    <row r="80" spans="1:76" s="62" customFormat="1" ht="35.1" customHeight="1">
      <c r="A80" s="63"/>
      <c r="B80" s="64"/>
      <c r="C80" s="65"/>
      <c r="D80" s="65"/>
      <c r="E80" s="65"/>
      <c r="F80" s="65"/>
      <c r="G80" s="65"/>
      <c r="H80" s="44"/>
      <c r="I80" s="44"/>
      <c r="J80" s="44"/>
      <c r="K80" s="17"/>
      <c r="L80" s="60" t="e">
        <f>CONCATENATE(#REF!,F80)</f>
        <v>#REF!</v>
      </c>
      <c r="M80" s="60" t="str">
        <f t="shared" si="5"/>
        <v/>
      </c>
      <c r="N80" s="61" t="str">
        <f t="shared" si="4"/>
        <v>-</v>
      </c>
      <c r="O80" s="61"/>
      <c r="P80" s="61"/>
      <c r="Q80" s="61"/>
      <c r="R80" s="61"/>
      <c r="S80" s="61"/>
      <c r="T80" s="61"/>
    </row>
    <row r="81" spans="1:76" s="62" customFormat="1" ht="35.1" customHeight="1">
      <c r="A81" s="63"/>
      <c r="B81" s="64"/>
      <c r="C81" s="65"/>
      <c r="D81" s="65"/>
      <c r="E81" s="65"/>
      <c r="F81" s="65"/>
      <c r="G81" s="65"/>
      <c r="H81" s="44"/>
      <c r="I81" s="44"/>
      <c r="J81" s="44"/>
      <c r="K81" s="17"/>
      <c r="L81" s="60" t="e">
        <f>CONCATENATE(#REF!,F81)</f>
        <v>#REF!</v>
      </c>
      <c r="M81" s="60" t="str">
        <f t="shared" si="5"/>
        <v/>
      </c>
      <c r="N81" s="61" t="str">
        <f t="shared" si="4"/>
        <v>-</v>
      </c>
      <c r="O81" s="61"/>
      <c r="P81" s="61"/>
      <c r="Q81" s="61"/>
      <c r="R81" s="61"/>
      <c r="S81" s="61"/>
      <c r="T81" s="61"/>
    </row>
    <row r="82" spans="1:76" s="62" customFormat="1" ht="35.1" customHeight="1">
      <c r="A82" s="63"/>
      <c r="B82" s="64"/>
      <c r="C82" s="65"/>
      <c r="D82" s="65"/>
      <c r="E82" s="65"/>
      <c r="F82" s="65"/>
      <c r="G82" s="65"/>
      <c r="H82" s="44"/>
      <c r="I82" s="44"/>
      <c r="J82" s="44"/>
      <c r="K82" s="17"/>
      <c r="L82" s="60" t="e">
        <f>CONCATENATE(#REF!,F82)</f>
        <v>#REF!</v>
      </c>
      <c r="M82" s="60" t="str">
        <f t="shared" si="5"/>
        <v/>
      </c>
      <c r="N82" s="61" t="str">
        <f t="shared" si="4"/>
        <v>-</v>
      </c>
      <c r="O82" s="61"/>
      <c r="P82" s="61"/>
      <c r="Q82" s="61"/>
      <c r="R82" s="61"/>
      <c r="S82" s="61"/>
      <c r="T82" s="61"/>
    </row>
    <row r="83" spans="1:76" s="62" customFormat="1" ht="35.1" customHeight="1">
      <c r="A83" s="63"/>
      <c r="B83" s="64"/>
      <c r="C83" s="65"/>
      <c r="D83" s="65"/>
      <c r="E83" s="65"/>
      <c r="F83" s="65"/>
      <c r="G83" s="65"/>
      <c r="H83" s="44"/>
      <c r="I83" s="44"/>
      <c r="J83" s="44"/>
      <c r="K83" s="17"/>
      <c r="L83" s="60" t="e">
        <f>CONCATENATE(#REF!,F83)</f>
        <v>#REF!</v>
      </c>
      <c r="M83" s="60" t="str">
        <f t="shared" si="5"/>
        <v/>
      </c>
      <c r="N83" s="61" t="str">
        <f t="shared" si="4"/>
        <v>-</v>
      </c>
      <c r="O83" s="61"/>
      <c r="P83" s="61"/>
      <c r="Q83" s="61"/>
      <c r="R83" s="61"/>
      <c r="S83" s="61"/>
      <c r="T83" s="61"/>
    </row>
    <row r="84" spans="1:76" s="62" customFormat="1" ht="35.1" customHeight="1">
      <c r="A84" s="63"/>
      <c r="B84" s="64"/>
      <c r="C84" s="65"/>
      <c r="D84" s="65"/>
      <c r="E84" s="65"/>
      <c r="F84" s="65"/>
      <c r="G84" s="65"/>
      <c r="H84" s="44"/>
      <c r="I84" s="44"/>
      <c r="J84" s="44"/>
      <c r="K84" s="17"/>
      <c r="L84" s="60" t="e">
        <f>CONCATENATE(#REF!,F84)</f>
        <v>#REF!</v>
      </c>
      <c r="M84" s="60" t="str">
        <f t="shared" si="5"/>
        <v/>
      </c>
      <c r="N84" s="61" t="str">
        <f t="shared" si="4"/>
        <v>-</v>
      </c>
      <c r="O84" s="61"/>
      <c r="P84" s="61"/>
      <c r="Q84" s="61"/>
      <c r="R84" s="61"/>
      <c r="S84" s="61"/>
      <c r="T84" s="61"/>
    </row>
    <row r="85" spans="1:76" s="62" customFormat="1" ht="35.1" customHeight="1">
      <c r="A85" s="63"/>
      <c r="B85" s="64"/>
      <c r="C85" s="65"/>
      <c r="D85" s="65"/>
      <c r="E85" s="65"/>
      <c r="F85" s="65"/>
      <c r="G85" s="65"/>
      <c r="H85" s="44"/>
      <c r="I85" s="44"/>
      <c r="J85" s="44"/>
      <c r="K85" s="17"/>
      <c r="L85" s="60" t="e">
        <f>CONCATENATE(#REF!,F85)</f>
        <v>#REF!</v>
      </c>
      <c r="M85" s="60" t="str">
        <f t="shared" si="5"/>
        <v/>
      </c>
      <c r="N85" s="61" t="str">
        <f t="shared" si="4"/>
        <v>-</v>
      </c>
      <c r="O85" s="61"/>
      <c r="P85" s="61"/>
      <c r="Q85" s="61"/>
      <c r="R85" s="61"/>
      <c r="S85" s="61"/>
      <c r="T85" s="61"/>
    </row>
    <row r="86" spans="1:76" s="62" customFormat="1" ht="35.1" customHeight="1">
      <c r="A86" s="63"/>
      <c r="B86" s="64"/>
      <c r="C86" s="65"/>
      <c r="D86" s="65"/>
      <c r="E86" s="65"/>
      <c r="F86" s="65"/>
      <c r="G86" s="65"/>
      <c r="H86" s="44"/>
      <c r="I86" s="44"/>
      <c r="J86" s="44"/>
      <c r="K86" s="17"/>
      <c r="L86" s="60" t="e">
        <f>CONCATENATE(#REF!,F86)</f>
        <v>#REF!</v>
      </c>
      <c r="M86" s="60" t="str">
        <f t="shared" si="5"/>
        <v/>
      </c>
      <c r="N86" s="61" t="str">
        <f t="shared" si="4"/>
        <v>-</v>
      </c>
      <c r="O86" s="61"/>
      <c r="P86" s="61"/>
      <c r="Q86" s="61"/>
      <c r="R86" s="61"/>
      <c r="S86" s="61"/>
      <c r="T86" s="61"/>
    </row>
    <row r="87" spans="1:76" s="62" customFormat="1" ht="35.1" customHeight="1">
      <c r="A87" s="63"/>
      <c r="B87" s="64"/>
      <c r="C87" s="65"/>
      <c r="D87" s="65"/>
      <c r="E87" s="65"/>
      <c r="F87" s="65"/>
      <c r="G87" s="65"/>
      <c r="H87" s="44"/>
      <c r="I87" s="44"/>
      <c r="J87" s="44"/>
      <c r="K87" s="17"/>
      <c r="L87" s="60" t="e">
        <f>CONCATENATE(#REF!,F87)</f>
        <v>#REF!</v>
      </c>
      <c r="M87" s="60" t="str">
        <f t="shared" si="5"/>
        <v/>
      </c>
      <c r="N87" s="61" t="str">
        <f t="shared" si="4"/>
        <v>-</v>
      </c>
      <c r="O87" s="61"/>
      <c r="P87" s="61"/>
      <c r="Q87" s="61"/>
      <c r="R87" s="61"/>
      <c r="S87" s="61"/>
      <c r="T87" s="61"/>
    </row>
    <row r="88" spans="1:76" s="62" customFormat="1" ht="35.1" customHeight="1">
      <c r="A88" s="77"/>
      <c r="B88" s="78"/>
      <c r="C88" s="79"/>
      <c r="D88" s="79"/>
      <c r="E88" s="79"/>
      <c r="F88" s="79"/>
      <c r="G88" s="79"/>
      <c r="H88" s="90"/>
      <c r="I88" s="90"/>
      <c r="J88" s="90"/>
      <c r="K88" s="91"/>
      <c r="L88" s="60" t="e">
        <f>CONCATENATE(#REF!,F88)</f>
        <v>#REF!</v>
      </c>
      <c r="M88" s="60" t="str">
        <f t="shared" si="5"/>
        <v/>
      </c>
      <c r="N88" s="61" t="str">
        <f t="shared" si="4"/>
        <v>-</v>
      </c>
      <c r="O88" s="61"/>
      <c r="P88" s="61"/>
      <c r="Q88" s="61"/>
      <c r="R88" s="61"/>
      <c r="S88" s="61"/>
      <c r="T88" s="61"/>
    </row>
    <row r="89" spans="1:76" s="73" customFormat="1" ht="35.1" customHeight="1">
      <c r="A89" s="66" t="s">
        <v>41</v>
      </c>
      <c r="B89" s="67"/>
      <c r="C89" s="68"/>
      <c r="D89" s="69"/>
      <c r="E89" s="69">
        <f>SUM(E69:E88)</f>
        <v>0</v>
      </c>
      <c r="F89" s="70"/>
      <c r="G89" s="70"/>
      <c r="H89" s="70"/>
      <c r="I89" s="70"/>
      <c r="J89" s="70"/>
      <c r="K89" s="71"/>
      <c r="L89" s="60" t="e">
        <f>CONCATENATE(#REF!,F89)</f>
        <v>#REF!</v>
      </c>
      <c r="M89" s="60" t="str">
        <f t="shared" si="5"/>
        <v/>
      </c>
      <c r="N89" s="61"/>
      <c r="O89" s="61"/>
      <c r="P89" s="61"/>
      <c r="Q89" s="61"/>
      <c r="R89" s="61"/>
      <c r="S89" s="61"/>
      <c r="T89" s="61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</row>
    <row r="90" spans="1:76" s="62" customFormat="1" ht="35.1" customHeight="1">
      <c r="A90" s="87"/>
      <c r="B90" s="82"/>
      <c r="C90" s="80"/>
      <c r="D90" s="59"/>
      <c r="E90" s="59"/>
      <c r="F90" s="80"/>
      <c r="G90" s="80"/>
      <c r="H90" s="43"/>
      <c r="I90" s="43"/>
      <c r="J90" s="43"/>
      <c r="K90" s="16"/>
      <c r="L90" s="60" t="e">
        <f>CONCATENATE(#REF!,F90)</f>
        <v>#REF!</v>
      </c>
      <c r="M90" s="60" t="str">
        <f t="shared" si="5"/>
        <v/>
      </c>
      <c r="N90" s="61" t="str">
        <f t="shared" ref="N90:N109" si="6">IF(D90&gt;=E90,"-","err")</f>
        <v>-</v>
      </c>
      <c r="O90" s="61"/>
      <c r="P90" s="61"/>
      <c r="Q90" s="61"/>
      <c r="R90" s="61"/>
      <c r="S90" s="61"/>
      <c r="T90" s="61"/>
    </row>
    <row r="91" spans="1:76" s="62" customFormat="1" ht="35.1" customHeight="1">
      <c r="A91" s="88"/>
      <c r="B91" s="83"/>
      <c r="C91" s="65"/>
      <c r="D91" s="65"/>
      <c r="E91" s="65"/>
      <c r="F91" s="65"/>
      <c r="G91" s="65"/>
      <c r="H91" s="44"/>
      <c r="I91" s="44">
        <v>0</v>
      </c>
      <c r="J91" s="44">
        <v>0</v>
      </c>
      <c r="K91" s="17"/>
      <c r="L91" s="60" t="e">
        <f>CONCATENATE(#REF!,F91)</f>
        <v>#REF!</v>
      </c>
      <c r="M91" s="60" t="str">
        <f t="shared" si="5"/>
        <v/>
      </c>
      <c r="N91" s="61" t="str">
        <f t="shared" si="6"/>
        <v>-</v>
      </c>
      <c r="O91" s="61"/>
      <c r="P91" s="61"/>
      <c r="Q91" s="61"/>
      <c r="R91" s="61"/>
      <c r="S91" s="61"/>
      <c r="T91" s="61"/>
    </row>
    <row r="92" spans="1:76" s="62" customFormat="1" ht="35.1" customHeight="1">
      <c r="A92" s="88"/>
      <c r="B92" s="86"/>
      <c r="C92" s="65"/>
      <c r="D92" s="65"/>
      <c r="E92" s="65"/>
      <c r="F92" s="65"/>
      <c r="G92" s="65"/>
      <c r="H92" s="44"/>
      <c r="I92" s="44">
        <v>0</v>
      </c>
      <c r="J92" s="44">
        <v>0</v>
      </c>
      <c r="K92" s="17"/>
      <c r="L92" s="60" t="e">
        <f>CONCATENATE(#REF!,F92)</f>
        <v>#REF!</v>
      </c>
      <c r="M92" s="60" t="str">
        <f t="shared" si="5"/>
        <v/>
      </c>
      <c r="N92" s="61" t="str">
        <f t="shared" si="6"/>
        <v>-</v>
      </c>
      <c r="O92" s="61"/>
      <c r="P92" s="61"/>
      <c r="Q92" s="61"/>
      <c r="R92" s="61"/>
      <c r="S92" s="61"/>
      <c r="T92" s="61"/>
    </row>
    <row r="93" spans="1:76" s="62" customFormat="1" ht="35.1" customHeight="1">
      <c r="A93" s="88"/>
      <c r="B93" s="86"/>
      <c r="C93" s="65"/>
      <c r="D93" s="65"/>
      <c r="E93" s="65"/>
      <c r="F93" s="65"/>
      <c r="G93" s="65"/>
      <c r="H93" s="44"/>
      <c r="I93" s="44">
        <v>0</v>
      </c>
      <c r="J93" s="44">
        <v>0</v>
      </c>
      <c r="K93" s="17"/>
      <c r="L93" s="60" t="e">
        <f>CONCATENATE(#REF!,F93)</f>
        <v>#REF!</v>
      </c>
      <c r="M93" s="60" t="str">
        <f t="shared" si="5"/>
        <v/>
      </c>
      <c r="N93" s="61" t="str">
        <f t="shared" si="6"/>
        <v>-</v>
      </c>
      <c r="O93" s="61"/>
      <c r="P93" s="61"/>
      <c r="Q93" s="61"/>
      <c r="R93" s="61"/>
      <c r="S93" s="61"/>
      <c r="T93" s="61"/>
    </row>
    <row r="94" spans="1:76" s="62" customFormat="1" ht="35.1" customHeight="1">
      <c r="A94" s="88"/>
      <c r="B94" s="86"/>
      <c r="C94" s="65"/>
      <c r="D94" s="65"/>
      <c r="E94" s="65"/>
      <c r="F94" s="65"/>
      <c r="G94" s="65"/>
      <c r="H94" s="44"/>
      <c r="I94" s="44">
        <v>0</v>
      </c>
      <c r="J94" s="44">
        <v>0</v>
      </c>
      <c r="K94" s="17"/>
      <c r="L94" s="60" t="e">
        <f>CONCATENATE(#REF!,F94)</f>
        <v>#REF!</v>
      </c>
      <c r="M94" s="60" t="str">
        <f t="shared" si="5"/>
        <v/>
      </c>
      <c r="N94" s="61" t="str">
        <f t="shared" si="6"/>
        <v>-</v>
      </c>
      <c r="O94" s="61"/>
      <c r="P94" s="61"/>
      <c r="Q94" s="61"/>
      <c r="R94" s="61"/>
      <c r="S94" s="61"/>
      <c r="T94" s="61"/>
    </row>
    <row r="95" spans="1:76" s="62" customFormat="1" ht="35.1" customHeight="1">
      <c r="A95" s="63"/>
      <c r="B95" s="83"/>
      <c r="C95" s="65"/>
      <c r="D95" s="65"/>
      <c r="E95" s="65"/>
      <c r="F95" s="65"/>
      <c r="G95" s="65"/>
      <c r="H95" s="44"/>
      <c r="I95" s="44">
        <v>0</v>
      </c>
      <c r="J95" s="44">
        <v>0</v>
      </c>
      <c r="K95" s="17"/>
      <c r="L95" s="60" t="e">
        <f>CONCATENATE(#REF!,F95)</f>
        <v>#REF!</v>
      </c>
      <c r="M95" s="60" t="str">
        <f t="shared" si="5"/>
        <v/>
      </c>
      <c r="N95" s="61" t="str">
        <f t="shared" si="6"/>
        <v>-</v>
      </c>
      <c r="O95" s="61"/>
      <c r="P95" s="61"/>
      <c r="Q95" s="61"/>
      <c r="R95" s="61"/>
      <c r="S95" s="61"/>
      <c r="T95" s="61"/>
    </row>
    <row r="96" spans="1:76" s="62" customFormat="1" ht="35.1" customHeight="1">
      <c r="A96" s="63"/>
      <c r="B96" s="83"/>
      <c r="C96" s="81"/>
      <c r="D96" s="65"/>
      <c r="E96" s="65"/>
      <c r="F96" s="81"/>
      <c r="G96" s="81"/>
      <c r="H96" s="44"/>
      <c r="I96" s="44"/>
      <c r="J96" s="44"/>
      <c r="K96" s="17"/>
      <c r="L96" s="60" t="e">
        <f>CONCATENATE(#REF!,F96)</f>
        <v>#REF!</v>
      </c>
      <c r="M96" s="60" t="str">
        <f t="shared" si="5"/>
        <v/>
      </c>
      <c r="N96" s="61" t="str">
        <f t="shared" si="6"/>
        <v>-</v>
      </c>
      <c r="O96" s="61"/>
      <c r="P96" s="61"/>
      <c r="Q96" s="61"/>
      <c r="R96" s="61"/>
      <c r="S96" s="61"/>
      <c r="T96" s="61"/>
    </row>
    <row r="97" spans="1:76" s="62" customFormat="1" ht="35.1" customHeight="1">
      <c r="A97" s="63"/>
      <c r="B97" s="83"/>
      <c r="C97" s="81"/>
      <c r="D97" s="65"/>
      <c r="E97" s="65"/>
      <c r="F97" s="81"/>
      <c r="G97" s="81"/>
      <c r="H97" s="44"/>
      <c r="I97" s="44">
        <v>0</v>
      </c>
      <c r="J97" s="44">
        <v>0</v>
      </c>
      <c r="K97" s="17"/>
      <c r="L97" s="60" t="e">
        <f>CONCATENATE(#REF!,F97)</f>
        <v>#REF!</v>
      </c>
      <c r="M97" s="60" t="str">
        <f t="shared" si="5"/>
        <v/>
      </c>
      <c r="N97" s="61" t="str">
        <f t="shared" si="6"/>
        <v>-</v>
      </c>
      <c r="O97" s="61"/>
      <c r="P97" s="61"/>
      <c r="Q97" s="61"/>
      <c r="R97" s="61"/>
      <c r="S97" s="61"/>
      <c r="T97" s="61"/>
    </row>
    <row r="98" spans="1:76" s="62" customFormat="1" ht="35.1" customHeight="1">
      <c r="A98" s="63"/>
      <c r="B98" s="83"/>
      <c r="C98" s="81"/>
      <c r="D98" s="65"/>
      <c r="E98" s="65"/>
      <c r="F98" s="81"/>
      <c r="G98" s="81"/>
      <c r="H98" s="44">
        <v>0</v>
      </c>
      <c r="I98" s="44">
        <v>0</v>
      </c>
      <c r="J98" s="44">
        <v>0</v>
      </c>
      <c r="K98" s="17"/>
      <c r="L98" s="60" t="e">
        <f>CONCATENATE(#REF!,F98)</f>
        <v>#REF!</v>
      </c>
      <c r="M98" s="60" t="str">
        <f t="shared" si="5"/>
        <v/>
      </c>
      <c r="N98" s="61" t="str">
        <f t="shared" si="6"/>
        <v>-</v>
      </c>
      <c r="O98" s="61"/>
      <c r="P98" s="61"/>
      <c r="Q98" s="61"/>
      <c r="R98" s="61"/>
      <c r="S98" s="61"/>
      <c r="T98" s="61"/>
    </row>
    <row r="99" spans="1:76" s="62" customFormat="1" ht="35.1" customHeight="1">
      <c r="A99" s="63"/>
      <c r="B99" s="83"/>
      <c r="C99" s="81"/>
      <c r="D99" s="65"/>
      <c r="E99" s="65"/>
      <c r="F99" s="81"/>
      <c r="G99" s="81"/>
      <c r="H99" s="44">
        <v>0</v>
      </c>
      <c r="I99" s="44">
        <v>0</v>
      </c>
      <c r="J99" s="44">
        <v>0</v>
      </c>
      <c r="K99" s="17"/>
      <c r="L99" s="60" t="e">
        <f>CONCATENATE(#REF!,F99)</f>
        <v>#REF!</v>
      </c>
      <c r="M99" s="60" t="str">
        <f t="shared" si="5"/>
        <v/>
      </c>
      <c r="N99" s="61" t="str">
        <f t="shared" si="6"/>
        <v>-</v>
      </c>
      <c r="O99" s="61"/>
      <c r="P99" s="61"/>
      <c r="Q99" s="61"/>
      <c r="R99" s="61"/>
      <c r="S99" s="61"/>
      <c r="T99" s="61"/>
    </row>
    <row r="100" spans="1:76" s="62" customFormat="1" ht="35.1" customHeight="1">
      <c r="A100" s="63"/>
      <c r="B100" s="83"/>
      <c r="C100" s="81"/>
      <c r="D100" s="65"/>
      <c r="E100" s="65"/>
      <c r="F100" s="81"/>
      <c r="G100" s="81"/>
      <c r="H100" s="44">
        <v>0</v>
      </c>
      <c r="I100" s="44">
        <v>0</v>
      </c>
      <c r="J100" s="44">
        <v>0</v>
      </c>
      <c r="K100" s="17"/>
      <c r="L100" s="60" t="e">
        <f>CONCATENATE(#REF!,F100)</f>
        <v>#REF!</v>
      </c>
      <c r="M100" s="60" t="str">
        <f t="shared" si="5"/>
        <v/>
      </c>
      <c r="N100" s="61" t="str">
        <f t="shared" si="6"/>
        <v>-</v>
      </c>
      <c r="O100" s="61"/>
      <c r="P100" s="61"/>
      <c r="Q100" s="61"/>
      <c r="R100" s="61"/>
      <c r="S100" s="61"/>
      <c r="T100" s="61"/>
    </row>
    <row r="101" spans="1:76" s="62" customFormat="1" ht="35.1" customHeight="1">
      <c r="A101" s="63"/>
      <c r="B101" s="64"/>
      <c r="C101" s="65"/>
      <c r="D101" s="65"/>
      <c r="E101" s="65"/>
      <c r="F101" s="65"/>
      <c r="G101" s="65"/>
      <c r="H101" s="44"/>
      <c r="I101" s="44"/>
      <c r="J101" s="44"/>
      <c r="K101" s="17"/>
      <c r="L101" s="60" t="e">
        <f>CONCATENATE(#REF!,F101)</f>
        <v>#REF!</v>
      </c>
      <c r="M101" s="60" t="str">
        <f t="shared" si="5"/>
        <v/>
      </c>
      <c r="N101" s="61" t="str">
        <f t="shared" si="6"/>
        <v>-</v>
      </c>
      <c r="O101" s="61"/>
      <c r="P101" s="61"/>
      <c r="Q101" s="61"/>
      <c r="R101" s="61"/>
      <c r="S101" s="61"/>
      <c r="T101" s="61"/>
    </row>
    <row r="102" spans="1:76" s="62" customFormat="1" ht="35.1" customHeight="1">
      <c r="A102" s="63"/>
      <c r="B102" s="64"/>
      <c r="C102" s="65"/>
      <c r="D102" s="65"/>
      <c r="E102" s="65"/>
      <c r="F102" s="65"/>
      <c r="G102" s="65"/>
      <c r="H102" s="44"/>
      <c r="I102" s="44"/>
      <c r="J102" s="44"/>
      <c r="K102" s="17"/>
      <c r="L102" s="60" t="e">
        <f>CONCATENATE(#REF!,F102)</f>
        <v>#REF!</v>
      </c>
      <c r="M102" s="60" t="str">
        <f t="shared" si="5"/>
        <v/>
      </c>
      <c r="N102" s="61" t="str">
        <f t="shared" si="6"/>
        <v>-</v>
      </c>
      <c r="O102" s="61"/>
      <c r="P102" s="61"/>
      <c r="Q102" s="61"/>
      <c r="R102" s="61"/>
      <c r="S102" s="61"/>
      <c r="T102" s="61"/>
    </row>
    <row r="103" spans="1:76" s="62" customFormat="1" ht="35.1" customHeight="1">
      <c r="A103" s="63"/>
      <c r="B103" s="64"/>
      <c r="C103" s="65"/>
      <c r="D103" s="65"/>
      <c r="E103" s="65"/>
      <c r="F103" s="65"/>
      <c r="G103" s="65"/>
      <c r="H103" s="44"/>
      <c r="I103" s="44"/>
      <c r="J103" s="44"/>
      <c r="K103" s="17"/>
      <c r="L103" s="60" t="e">
        <f>CONCATENATE(#REF!,F103)</f>
        <v>#REF!</v>
      </c>
      <c r="M103" s="60" t="str">
        <f t="shared" si="5"/>
        <v/>
      </c>
      <c r="N103" s="61" t="str">
        <f t="shared" si="6"/>
        <v>-</v>
      </c>
      <c r="O103" s="61"/>
      <c r="P103" s="61"/>
      <c r="Q103" s="61"/>
      <c r="R103" s="61"/>
      <c r="S103" s="61"/>
      <c r="T103" s="61"/>
    </row>
    <row r="104" spans="1:76" s="62" customFormat="1" ht="35.1" customHeight="1">
      <c r="A104" s="63"/>
      <c r="B104" s="64"/>
      <c r="C104" s="65"/>
      <c r="D104" s="65"/>
      <c r="E104" s="65"/>
      <c r="F104" s="65"/>
      <c r="G104" s="65"/>
      <c r="H104" s="44"/>
      <c r="I104" s="44"/>
      <c r="J104" s="44"/>
      <c r="K104" s="17"/>
      <c r="L104" s="60" t="e">
        <f>CONCATENATE(#REF!,F104)</f>
        <v>#REF!</v>
      </c>
      <c r="M104" s="60" t="str">
        <f t="shared" si="5"/>
        <v/>
      </c>
      <c r="N104" s="61" t="str">
        <f t="shared" si="6"/>
        <v>-</v>
      </c>
      <c r="O104" s="61"/>
      <c r="P104" s="61"/>
      <c r="Q104" s="61"/>
      <c r="R104" s="61"/>
      <c r="S104" s="61"/>
      <c r="T104" s="61"/>
    </row>
    <row r="105" spans="1:76" s="62" customFormat="1" ht="35.1" customHeight="1">
      <c r="A105" s="63"/>
      <c r="B105" s="64"/>
      <c r="C105" s="65"/>
      <c r="D105" s="65"/>
      <c r="E105" s="65"/>
      <c r="F105" s="65"/>
      <c r="G105" s="65"/>
      <c r="H105" s="44"/>
      <c r="I105" s="44"/>
      <c r="J105" s="44"/>
      <c r="K105" s="17"/>
      <c r="L105" s="60" t="e">
        <f>CONCATENATE(#REF!,F105)</f>
        <v>#REF!</v>
      </c>
      <c r="M105" s="60" t="str">
        <f t="shared" si="5"/>
        <v/>
      </c>
      <c r="N105" s="61" t="str">
        <f t="shared" si="6"/>
        <v>-</v>
      </c>
      <c r="O105" s="61"/>
      <c r="P105" s="61"/>
      <c r="Q105" s="61"/>
      <c r="R105" s="61"/>
      <c r="S105" s="61"/>
      <c r="T105" s="61"/>
    </row>
    <row r="106" spans="1:76" s="62" customFormat="1" ht="35.1" customHeight="1">
      <c r="A106" s="63"/>
      <c r="B106" s="64"/>
      <c r="C106" s="65"/>
      <c r="D106" s="65"/>
      <c r="E106" s="65"/>
      <c r="F106" s="65"/>
      <c r="G106" s="65"/>
      <c r="H106" s="44"/>
      <c r="I106" s="44"/>
      <c r="J106" s="44"/>
      <c r="K106" s="17"/>
      <c r="L106" s="60" t="e">
        <f>CONCATENATE(#REF!,F106)</f>
        <v>#REF!</v>
      </c>
      <c r="M106" s="60" t="str">
        <f t="shared" si="5"/>
        <v/>
      </c>
      <c r="N106" s="61" t="str">
        <f t="shared" si="6"/>
        <v>-</v>
      </c>
      <c r="O106" s="61"/>
      <c r="P106" s="61"/>
      <c r="Q106" s="61"/>
      <c r="R106" s="61"/>
      <c r="S106" s="61"/>
      <c r="T106" s="61"/>
    </row>
    <row r="107" spans="1:76" s="62" customFormat="1" ht="35.1" customHeight="1">
      <c r="A107" s="63"/>
      <c r="B107" s="64"/>
      <c r="C107" s="65"/>
      <c r="D107" s="65"/>
      <c r="E107" s="65"/>
      <c r="F107" s="65"/>
      <c r="G107" s="65"/>
      <c r="H107" s="44"/>
      <c r="I107" s="44"/>
      <c r="J107" s="44"/>
      <c r="K107" s="17"/>
      <c r="L107" s="60" t="e">
        <f>CONCATENATE(#REF!,F107)</f>
        <v>#REF!</v>
      </c>
      <c r="M107" s="60" t="str">
        <f t="shared" si="5"/>
        <v/>
      </c>
      <c r="N107" s="61" t="str">
        <f t="shared" si="6"/>
        <v>-</v>
      </c>
      <c r="O107" s="61"/>
      <c r="P107" s="61"/>
      <c r="Q107" s="61"/>
      <c r="R107" s="61"/>
      <c r="S107" s="61"/>
      <c r="T107" s="61"/>
    </row>
    <row r="108" spans="1:76" s="62" customFormat="1" ht="35.1" customHeight="1">
      <c r="A108" s="63"/>
      <c r="B108" s="64"/>
      <c r="C108" s="65"/>
      <c r="D108" s="65"/>
      <c r="E108" s="65"/>
      <c r="F108" s="65"/>
      <c r="G108" s="65"/>
      <c r="H108" s="44"/>
      <c r="I108" s="44"/>
      <c r="J108" s="44"/>
      <c r="K108" s="17"/>
      <c r="L108" s="60" t="e">
        <f>CONCATENATE(#REF!,F108)</f>
        <v>#REF!</v>
      </c>
      <c r="M108" s="60" t="str">
        <f t="shared" si="5"/>
        <v/>
      </c>
      <c r="N108" s="61" t="str">
        <f t="shared" si="6"/>
        <v>-</v>
      </c>
      <c r="O108" s="61"/>
      <c r="P108" s="61"/>
      <c r="Q108" s="61"/>
      <c r="R108" s="61"/>
      <c r="S108" s="61"/>
      <c r="T108" s="61"/>
    </row>
    <row r="109" spans="1:76" s="62" customFormat="1" ht="35.1" customHeight="1">
      <c r="A109" s="77"/>
      <c r="B109" s="78"/>
      <c r="C109" s="79"/>
      <c r="D109" s="79"/>
      <c r="E109" s="79"/>
      <c r="F109" s="79"/>
      <c r="G109" s="79"/>
      <c r="H109" s="90"/>
      <c r="I109" s="90"/>
      <c r="J109" s="90"/>
      <c r="K109" s="91"/>
      <c r="L109" s="60" t="e">
        <f>CONCATENATE(#REF!,F109)</f>
        <v>#REF!</v>
      </c>
      <c r="M109" s="60" t="str">
        <f t="shared" si="5"/>
        <v/>
      </c>
      <c r="N109" s="61" t="str">
        <f t="shared" si="6"/>
        <v>-</v>
      </c>
      <c r="O109" s="61"/>
      <c r="P109" s="61"/>
      <c r="Q109" s="61"/>
      <c r="R109" s="61"/>
      <c r="S109" s="61"/>
      <c r="T109" s="61"/>
    </row>
    <row r="110" spans="1:76" s="73" customFormat="1" ht="35.1" customHeight="1">
      <c r="A110" s="66" t="s">
        <v>41</v>
      </c>
      <c r="B110" s="67"/>
      <c r="C110" s="68"/>
      <c r="D110" s="69"/>
      <c r="E110" s="69">
        <f>SUM(E90:E109)</f>
        <v>0</v>
      </c>
      <c r="F110" s="70"/>
      <c r="G110" s="70"/>
      <c r="H110" s="70"/>
      <c r="I110" s="70"/>
      <c r="J110" s="70"/>
      <c r="K110" s="71"/>
      <c r="L110" s="60" t="e">
        <f>CONCATENATE(#REF!,F110)</f>
        <v>#REF!</v>
      </c>
      <c r="M110" s="60" t="str">
        <f t="shared" si="5"/>
        <v/>
      </c>
      <c r="N110" s="61"/>
      <c r="O110" s="61"/>
      <c r="P110" s="61"/>
      <c r="Q110" s="61"/>
      <c r="R110" s="61"/>
      <c r="S110" s="61"/>
      <c r="T110" s="61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</row>
    <row r="111" spans="1:76" s="62" customFormat="1" ht="35.1" customHeight="1">
      <c r="A111" s="87"/>
      <c r="B111" s="82"/>
      <c r="C111" s="80"/>
      <c r="D111" s="59"/>
      <c r="E111" s="59"/>
      <c r="F111" s="80"/>
      <c r="G111" s="80"/>
      <c r="H111" s="43"/>
      <c r="I111" s="43"/>
      <c r="J111" s="43"/>
      <c r="K111" s="16"/>
      <c r="L111" s="60" t="e">
        <f>CONCATENATE(#REF!,F111)</f>
        <v>#REF!</v>
      </c>
      <c r="M111" s="60" t="str">
        <f t="shared" si="5"/>
        <v/>
      </c>
      <c r="N111" s="61" t="str">
        <f t="shared" ref="N111:N130" si="7">IF(D111&gt;=E111,"-","err")</f>
        <v>-</v>
      </c>
      <c r="O111" s="61"/>
      <c r="P111" s="61"/>
      <c r="Q111" s="61"/>
      <c r="R111" s="61"/>
      <c r="S111" s="61"/>
      <c r="T111" s="61"/>
    </row>
    <row r="112" spans="1:76" s="62" customFormat="1" ht="35.1" customHeight="1">
      <c r="A112" s="88"/>
      <c r="B112" s="83"/>
      <c r="C112" s="65"/>
      <c r="D112" s="65"/>
      <c r="E112" s="65"/>
      <c r="F112" s="65"/>
      <c r="G112" s="65"/>
      <c r="H112" s="44"/>
      <c r="I112" s="44">
        <v>0</v>
      </c>
      <c r="J112" s="44">
        <v>0</v>
      </c>
      <c r="K112" s="17"/>
      <c r="L112" s="60" t="e">
        <f>CONCATENATE(#REF!,F112)</f>
        <v>#REF!</v>
      </c>
      <c r="M112" s="60" t="str">
        <f t="shared" si="5"/>
        <v/>
      </c>
      <c r="N112" s="61" t="str">
        <f t="shared" si="7"/>
        <v>-</v>
      </c>
      <c r="O112" s="61"/>
      <c r="P112" s="61"/>
      <c r="Q112" s="61"/>
      <c r="R112" s="61"/>
      <c r="S112" s="61"/>
      <c r="T112" s="61"/>
    </row>
    <row r="113" spans="1:20" s="62" customFormat="1" ht="35.1" customHeight="1">
      <c r="A113" s="88"/>
      <c r="B113" s="86"/>
      <c r="C113" s="65"/>
      <c r="D113" s="65"/>
      <c r="E113" s="65"/>
      <c r="F113" s="65"/>
      <c r="G113" s="65"/>
      <c r="H113" s="44"/>
      <c r="I113" s="44">
        <v>0</v>
      </c>
      <c r="J113" s="44">
        <v>0</v>
      </c>
      <c r="K113" s="17"/>
      <c r="L113" s="60" t="e">
        <f>CONCATENATE(#REF!,F113)</f>
        <v>#REF!</v>
      </c>
      <c r="M113" s="60" t="str">
        <f t="shared" si="5"/>
        <v/>
      </c>
      <c r="N113" s="61" t="str">
        <f t="shared" si="7"/>
        <v>-</v>
      </c>
      <c r="O113" s="61"/>
      <c r="P113" s="61"/>
      <c r="Q113" s="61"/>
      <c r="R113" s="61"/>
      <c r="S113" s="61"/>
      <c r="T113" s="61"/>
    </row>
    <row r="114" spans="1:20" s="62" customFormat="1" ht="35.1" customHeight="1">
      <c r="A114" s="88"/>
      <c r="B114" s="86"/>
      <c r="C114" s="65"/>
      <c r="D114" s="65"/>
      <c r="E114" s="65"/>
      <c r="F114" s="65"/>
      <c r="G114" s="65"/>
      <c r="H114" s="44"/>
      <c r="I114" s="44">
        <v>0</v>
      </c>
      <c r="J114" s="44">
        <v>0</v>
      </c>
      <c r="K114" s="17"/>
      <c r="L114" s="60" t="e">
        <f>CONCATENATE(#REF!,F114)</f>
        <v>#REF!</v>
      </c>
      <c r="M114" s="60" t="str">
        <f t="shared" si="5"/>
        <v/>
      </c>
      <c r="N114" s="61" t="str">
        <f t="shared" si="7"/>
        <v>-</v>
      </c>
      <c r="O114" s="61"/>
      <c r="P114" s="61"/>
      <c r="Q114" s="61"/>
      <c r="R114" s="61"/>
      <c r="S114" s="61"/>
      <c r="T114" s="61"/>
    </row>
    <row r="115" spans="1:20" s="62" customFormat="1" ht="35.1" customHeight="1">
      <c r="A115" s="88"/>
      <c r="B115" s="86"/>
      <c r="C115" s="65"/>
      <c r="D115" s="65"/>
      <c r="E115" s="65"/>
      <c r="F115" s="65"/>
      <c r="G115" s="65"/>
      <c r="H115" s="44"/>
      <c r="I115" s="44">
        <v>0</v>
      </c>
      <c r="J115" s="44">
        <v>0</v>
      </c>
      <c r="K115" s="17"/>
      <c r="L115" s="60" t="e">
        <f>CONCATENATE(#REF!,F115)</f>
        <v>#REF!</v>
      </c>
      <c r="M115" s="60" t="str">
        <f t="shared" si="5"/>
        <v/>
      </c>
      <c r="N115" s="61" t="str">
        <f t="shared" si="7"/>
        <v>-</v>
      </c>
      <c r="O115" s="61"/>
      <c r="P115" s="61"/>
      <c r="Q115" s="61"/>
      <c r="R115" s="61"/>
      <c r="S115" s="61"/>
      <c r="T115" s="61"/>
    </row>
    <row r="116" spans="1:20" s="62" customFormat="1" ht="35.1" customHeight="1">
      <c r="A116" s="63"/>
      <c r="B116" s="83"/>
      <c r="C116" s="65"/>
      <c r="D116" s="65"/>
      <c r="E116" s="65"/>
      <c r="F116" s="65"/>
      <c r="G116" s="65"/>
      <c r="H116" s="44"/>
      <c r="I116" s="44">
        <v>0</v>
      </c>
      <c r="J116" s="44">
        <v>0</v>
      </c>
      <c r="K116" s="17"/>
      <c r="L116" s="60" t="e">
        <f>CONCATENATE(#REF!,F116)</f>
        <v>#REF!</v>
      </c>
      <c r="M116" s="60" t="str">
        <f t="shared" si="5"/>
        <v/>
      </c>
      <c r="N116" s="61" t="str">
        <f t="shared" si="7"/>
        <v>-</v>
      </c>
      <c r="O116" s="61"/>
      <c r="P116" s="61"/>
      <c r="Q116" s="61"/>
      <c r="R116" s="61"/>
      <c r="S116" s="61"/>
      <c r="T116" s="61"/>
    </row>
    <row r="117" spans="1:20" s="62" customFormat="1" ht="35.1" customHeight="1">
      <c r="A117" s="63"/>
      <c r="B117" s="83"/>
      <c r="C117" s="81"/>
      <c r="D117" s="65"/>
      <c r="E117" s="65"/>
      <c r="F117" s="81"/>
      <c r="G117" s="81"/>
      <c r="H117" s="44"/>
      <c r="I117" s="44"/>
      <c r="J117" s="44"/>
      <c r="K117" s="17"/>
      <c r="L117" s="60" t="e">
        <f>CONCATENATE(#REF!,F117)</f>
        <v>#REF!</v>
      </c>
      <c r="M117" s="60" t="str">
        <f t="shared" si="5"/>
        <v/>
      </c>
      <c r="N117" s="61" t="str">
        <f t="shared" si="7"/>
        <v>-</v>
      </c>
      <c r="O117" s="61"/>
      <c r="P117" s="61"/>
      <c r="Q117" s="61"/>
      <c r="R117" s="61"/>
      <c r="S117" s="61"/>
      <c r="T117" s="61"/>
    </row>
    <row r="118" spans="1:20" s="62" customFormat="1" ht="35.1" customHeight="1">
      <c r="A118" s="63"/>
      <c r="B118" s="83"/>
      <c r="C118" s="81"/>
      <c r="D118" s="65"/>
      <c r="E118" s="65"/>
      <c r="F118" s="81"/>
      <c r="G118" s="81"/>
      <c r="H118" s="44"/>
      <c r="I118" s="44">
        <v>0</v>
      </c>
      <c r="J118" s="44">
        <v>0</v>
      </c>
      <c r="K118" s="17"/>
      <c r="L118" s="60" t="e">
        <f>CONCATENATE(#REF!,F118)</f>
        <v>#REF!</v>
      </c>
      <c r="M118" s="60" t="str">
        <f t="shared" si="5"/>
        <v/>
      </c>
      <c r="N118" s="61" t="str">
        <f t="shared" si="7"/>
        <v>-</v>
      </c>
      <c r="O118" s="61"/>
      <c r="P118" s="61"/>
      <c r="Q118" s="61"/>
      <c r="R118" s="61"/>
      <c r="S118" s="61"/>
      <c r="T118" s="61"/>
    </row>
    <row r="119" spans="1:20" s="62" customFormat="1" ht="35.1" customHeight="1">
      <c r="A119" s="63"/>
      <c r="B119" s="83"/>
      <c r="C119" s="81"/>
      <c r="D119" s="65"/>
      <c r="E119" s="65"/>
      <c r="F119" s="81"/>
      <c r="G119" s="81"/>
      <c r="H119" s="44">
        <v>0</v>
      </c>
      <c r="I119" s="44">
        <v>0</v>
      </c>
      <c r="J119" s="44">
        <v>0</v>
      </c>
      <c r="K119" s="17"/>
      <c r="L119" s="60" t="e">
        <f>CONCATENATE(#REF!,F119)</f>
        <v>#REF!</v>
      </c>
      <c r="M119" s="60" t="str">
        <f t="shared" si="5"/>
        <v/>
      </c>
      <c r="N119" s="61" t="str">
        <f t="shared" si="7"/>
        <v>-</v>
      </c>
      <c r="O119" s="61"/>
      <c r="P119" s="61"/>
      <c r="Q119" s="61"/>
      <c r="R119" s="61"/>
      <c r="S119" s="61"/>
      <c r="T119" s="61"/>
    </row>
    <row r="120" spans="1:20" s="62" customFormat="1" ht="35.1" customHeight="1">
      <c r="A120" s="63"/>
      <c r="B120" s="83"/>
      <c r="C120" s="81"/>
      <c r="D120" s="65"/>
      <c r="E120" s="65"/>
      <c r="F120" s="81"/>
      <c r="G120" s="81"/>
      <c r="H120" s="44">
        <v>0</v>
      </c>
      <c r="I120" s="44">
        <v>0</v>
      </c>
      <c r="J120" s="44">
        <v>0</v>
      </c>
      <c r="K120" s="17"/>
      <c r="L120" s="60" t="e">
        <f>CONCATENATE(#REF!,F120)</f>
        <v>#REF!</v>
      </c>
      <c r="M120" s="60" t="str">
        <f t="shared" si="5"/>
        <v/>
      </c>
      <c r="N120" s="61" t="str">
        <f t="shared" si="7"/>
        <v>-</v>
      </c>
      <c r="O120" s="61"/>
      <c r="P120" s="61"/>
      <c r="Q120" s="61"/>
      <c r="R120" s="61"/>
      <c r="S120" s="61"/>
      <c r="T120" s="61"/>
    </row>
    <row r="121" spans="1:20" s="62" customFormat="1" ht="35.1" customHeight="1">
      <c r="A121" s="63"/>
      <c r="B121" s="83"/>
      <c r="C121" s="81"/>
      <c r="D121" s="65"/>
      <c r="E121" s="65"/>
      <c r="F121" s="81"/>
      <c r="G121" s="81"/>
      <c r="H121" s="44">
        <v>0</v>
      </c>
      <c r="I121" s="44">
        <v>0</v>
      </c>
      <c r="J121" s="44">
        <v>0</v>
      </c>
      <c r="K121" s="17"/>
      <c r="L121" s="60" t="e">
        <f>CONCATENATE(#REF!,F121)</f>
        <v>#REF!</v>
      </c>
      <c r="M121" s="60" t="str">
        <f t="shared" si="5"/>
        <v/>
      </c>
      <c r="N121" s="61" t="str">
        <f t="shared" si="7"/>
        <v>-</v>
      </c>
      <c r="O121" s="61"/>
      <c r="P121" s="61"/>
      <c r="Q121" s="61"/>
      <c r="R121" s="61"/>
      <c r="S121" s="61"/>
      <c r="T121" s="61"/>
    </row>
    <row r="122" spans="1:20" s="62" customFormat="1" ht="35.1" customHeight="1">
      <c r="A122" s="63"/>
      <c r="B122" s="64"/>
      <c r="C122" s="65"/>
      <c r="D122" s="65"/>
      <c r="E122" s="65"/>
      <c r="F122" s="65"/>
      <c r="G122" s="65"/>
      <c r="H122" s="44"/>
      <c r="I122" s="44"/>
      <c r="J122" s="44"/>
      <c r="K122" s="17"/>
      <c r="L122" s="60" t="e">
        <f>CONCATENATE(#REF!,F122)</f>
        <v>#REF!</v>
      </c>
      <c r="M122" s="60" t="str">
        <f t="shared" si="5"/>
        <v/>
      </c>
      <c r="N122" s="61" t="str">
        <f t="shared" si="7"/>
        <v>-</v>
      </c>
      <c r="O122" s="61"/>
      <c r="P122" s="61"/>
      <c r="Q122" s="61"/>
      <c r="R122" s="61"/>
      <c r="S122" s="61"/>
      <c r="T122" s="61"/>
    </row>
    <row r="123" spans="1:20" s="62" customFormat="1" ht="35.1" customHeight="1">
      <c r="A123" s="63"/>
      <c r="B123" s="64"/>
      <c r="C123" s="65"/>
      <c r="D123" s="65"/>
      <c r="E123" s="65"/>
      <c r="F123" s="65"/>
      <c r="G123" s="65"/>
      <c r="H123" s="44"/>
      <c r="I123" s="44"/>
      <c r="J123" s="44"/>
      <c r="K123" s="17"/>
      <c r="L123" s="60" t="e">
        <f>CONCATENATE(#REF!,F123)</f>
        <v>#REF!</v>
      </c>
      <c r="M123" s="60" t="str">
        <f t="shared" si="5"/>
        <v/>
      </c>
      <c r="N123" s="61" t="str">
        <f t="shared" si="7"/>
        <v>-</v>
      </c>
      <c r="O123" s="61"/>
      <c r="P123" s="61"/>
      <c r="Q123" s="61"/>
      <c r="R123" s="61"/>
      <c r="S123" s="61"/>
      <c r="T123" s="61"/>
    </row>
    <row r="124" spans="1:20" s="62" customFormat="1" ht="35.1" customHeight="1">
      <c r="A124" s="63"/>
      <c r="B124" s="64"/>
      <c r="C124" s="65"/>
      <c r="D124" s="65"/>
      <c r="E124" s="65"/>
      <c r="F124" s="65"/>
      <c r="G124" s="65"/>
      <c r="H124" s="44"/>
      <c r="I124" s="44"/>
      <c r="J124" s="44"/>
      <c r="K124" s="17"/>
      <c r="L124" s="60" t="e">
        <f>CONCATENATE(#REF!,F124)</f>
        <v>#REF!</v>
      </c>
      <c r="M124" s="60" t="str">
        <f t="shared" si="5"/>
        <v/>
      </c>
      <c r="N124" s="61" t="str">
        <f t="shared" si="7"/>
        <v>-</v>
      </c>
      <c r="O124" s="61"/>
      <c r="P124" s="61"/>
      <c r="Q124" s="61"/>
      <c r="R124" s="61"/>
      <c r="S124" s="61"/>
      <c r="T124" s="61"/>
    </row>
    <row r="125" spans="1:20" s="62" customFormat="1" ht="35.1" customHeight="1">
      <c r="A125" s="63"/>
      <c r="B125" s="64"/>
      <c r="C125" s="65"/>
      <c r="D125" s="65"/>
      <c r="E125" s="65"/>
      <c r="F125" s="65"/>
      <c r="G125" s="65"/>
      <c r="H125" s="44"/>
      <c r="I125" s="44"/>
      <c r="J125" s="44"/>
      <c r="K125" s="17"/>
      <c r="L125" s="60" t="e">
        <f>CONCATENATE(#REF!,F125)</f>
        <v>#REF!</v>
      </c>
      <c r="M125" s="60" t="str">
        <f t="shared" si="5"/>
        <v/>
      </c>
      <c r="N125" s="61" t="str">
        <f t="shared" si="7"/>
        <v>-</v>
      </c>
      <c r="O125" s="61"/>
      <c r="P125" s="61"/>
      <c r="Q125" s="61"/>
      <c r="R125" s="61"/>
      <c r="S125" s="61"/>
      <c r="T125" s="61"/>
    </row>
    <row r="126" spans="1:20" s="62" customFormat="1" ht="35.1" customHeight="1">
      <c r="A126" s="63"/>
      <c r="B126" s="64"/>
      <c r="C126" s="65"/>
      <c r="D126" s="65"/>
      <c r="E126" s="65"/>
      <c r="F126" s="65"/>
      <c r="G126" s="65"/>
      <c r="H126" s="44"/>
      <c r="I126" s="44"/>
      <c r="J126" s="44"/>
      <c r="K126" s="17"/>
      <c r="L126" s="60" t="e">
        <f>CONCATENATE(#REF!,F126)</f>
        <v>#REF!</v>
      </c>
      <c r="M126" s="60" t="str">
        <f t="shared" si="5"/>
        <v/>
      </c>
      <c r="N126" s="61" t="str">
        <f t="shared" si="7"/>
        <v>-</v>
      </c>
      <c r="O126" s="61"/>
      <c r="P126" s="61"/>
      <c r="Q126" s="61"/>
      <c r="R126" s="61"/>
      <c r="S126" s="61"/>
      <c r="T126" s="61"/>
    </row>
    <row r="127" spans="1:20" s="62" customFormat="1" ht="35.1" customHeight="1">
      <c r="A127" s="63"/>
      <c r="B127" s="64"/>
      <c r="C127" s="65"/>
      <c r="D127" s="65"/>
      <c r="E127" s="65"/>
      <c r="F127" s="65"/>
      <c r="G127" s="65"/>
      <c r="H127" s="44"/>
      <c r="I127" s="44"/>
      <c r="J127" s="44"/>
      <c r="K127" s="17"/>
      <c r="L127" s="60" t="e">
        <f>CONCATENATE(#REF!,F127)</f>
        <v>#REF!</v>
      </c>
      <c r="M127" s="60" t="str">
        <f t="shared" si="5"/>
        <v/>
      </c>
      <c r="N127" s="61" t="str">
        <f t="shared" si="7"/>
        <v>-</v>
      </c>
      <c r="O127" s="61"/>
      <c r="P127" s="61"/>
      <c r="Q127" s="61"/>
      <c r="R127" s="61"/>
      <c r="S127" s="61"/>
      <c r="T127" s="61"/>
    </row>
    <row r="128" spans="1:20" s="62" customFormat="1" ht="35.1" customHeight="1">
      <c r="A128" s="63"/>
      <c r="B128" s="64"/>
      <c r="C128" s="65"/>
      <c r="D128" s="65"/>
      <c r="E128" s="65"/>
      <c r="F128" s="65"/>
      <c r="G128" s="65"/>
      <c r="H128" s="44"/>
      <c r="I128" s="44"/>
      <c r="J128" s="44"/>
      <c r="K128" s="17"/>
      <c r="L128" s="60" t="e">
        <f>CONCATENATE(#REF!,F128)</f>
        <v>#REF!</v>
      </c>
      <c r="M128" s="60" t="str">
        <f t="shared" si="5"/>
        <v/>
      </c>
      <c r="N128" s="61" t="str">
        <f t="shared" si="7"/>
        <v>-</v>
      </c>
      <c r="O128" s="61"/>
      <c r="P128" s="61"/>
      <c r="Q128" s="61"/>
      <c r="R128" s="61"/>
      <c r="S128" s="61"/>
      <c r="T128" s="61"/>
    </row>
    <row r="129" spans="1:76" s="62" customFormat="1" ht="35.1" customHeight="1">
      <c r="A129" s="63"/>
      <c r="B129" s="64"/>
      <c r="C129" s="65"/>
      <c r="D129" s="65"/>
      <c r="E129" s="65"/>
      <c r="F129" s="65"/>
      <c r="G129" s="65"/>
      <c r="H129" s="44"/>
      <c r="I129" s="44"/>
      <c r="J129" s="44"/>
      <c r="K129" s="17"/>
      <c r="L129" s="60" t="e">
        <f>CONCATENATE(#REF!,F129)</f>
        <v>#REF!</v>
      </c>
      <c r="M129" s="60" t="str">
        <f t="shared" si="5"/>
        <v/>
      </c>
      <c r="N129" s="61" t="str">
        <f t="shared" si="7"/>
        <v>-</v>
      </c>
      <c r="O129" s="61"/>
      <c r="P129" s="61"/>
      <c r="Q129" s="61"/>
      <c r="R129" s="61"/>
      <c r="S129" s="61"/>
      <c r="T129" s="61"/>
    </row>
    <row r="130" spans="1:76" s="62" customFormat="1" ht="35.1" customHeight="1">
      <c r="A130" s="77"/>
      <c r="B130" s="78"/>
      <c r="C130" s="79"/>
      <c r="D130" s="79"/>
      <c r="E130" s="79"/>
      <c r="F130" s="79"/>
      <c r="G130" s="79"/>
      <c r="H130" s="90"/>
      <c r="I130" s="90"/>
      <c r="J130" s="90"/>
      <c r="K130" s="91"/>
      <c r="L130" s="60" t="e">
        <f>CONCATENATE(#REF!,F130)</f>
        <v>#REF!</v>
      </c>
      <c r="M130" s="60" t="str">
        <f t="shared" si="5"/>
        <v/>
      </c>
      <c r="N130" s="61" t="str">
        <f t="shared" si="7"/>
        <v>-</v>
      </c>
      <c r="O130" s="61"/>
      <c r="P130" s="61"/>
      <c r="Q130" s="61"/>
      <c r="R130" s="61"/>
      <c r="S130" s="61"/>
      <c r="T130" s="61"/>
    </row>
    <row r="131" spans="1:76" s="73" customFormat="1" ht="35.1" customHeight="1">
      <c r="A131" s="66" t="s">
        <v>41</v>
      </c>
      <c r="B131" s="67"/>
      <c r="C131" s="68"/>
      <c r="D131" s="69"/>
      <c r="E131" s="69">
        <f>SUM(E111:E130)</f>
        <v>0</v>
      </c>
      <c r="F131" s="70"/>
      <c r="G131" s="70"/>
      <c r="H131" s="70"/>
      <c r="I131" s="70"/>
      <c r="J131" s="70"/>
      <c r="K131" s="71"/>
      <c r="L131" s="60" t="e">
        <f>CONCATENATE(#REF!,F131)</f>
        <v>#REF!</v>
      </c>
      <c r="M131" s="60" t="str">
        <f t="shared" si="5"/>
        <v/>
      </c>
      <c r="N131" s="61"/>
      <c r="O131" s="61"/>
      <c r="P131" s="61"/>
      <c r="Q131" s="61"/>
      <c r="R131" s="61"/>
      <c r="S131" s="61"/>
      <c r="T131" s="61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</row>
    <row r="132" spans="1:76" s="62" customFormat="1" ht="35.1" customHeight="1">
      <c r="A132" s="87"/>
      <c r="B132" s="82"/>
      <c r="C132" s="80"/>
      <c r="D132" s="59"/>
      <c r="E132" s="59"/>
      <c r="F132" s="80"/>
      <c r="G132" s="80"/>
      <c r="H132" s="43"/>
      <c r="I132" s="43"/>
      <c r="J132" s="43"/>
      <c r="K132" s="16"/>
      <c r="L132" s="60" t="e">
        <f>CONCATENATE(#REF!,F132)</f>
        <v>#REF!</v>
      </c>
      <c r="M132" s="60" t="str">
        <f t="shared" si="5"/>
        <v/>
      </c>
      <c r="N132" s="61" t="str">
        <f t="shared" ref="N132:N151" si="8">IF(D132&gt;=E132,"-","err")</f>
        <v>-</v>
      </c>
      <c r="O132" s="61"/>
      <c r="P132" s="61"/>
      <c r="Q132" s="61"/>
      <c r="R132" s="61"/>
      <c r="S132" s="61"/>
      <c r="T132" s="61"/>
    </row>
    <row r="133" spans="1:76" s="62" customFormat="1" ht="35.1" customHeight="1">
      <c r="A133" s="88"/>
      <c r="B133" s="83"/>
      <c r="C133" s="65"/>
      <c r="D133" s="65"/>
      <c r="E133" s="65"/>
      <c r="F133" s="65"/>
      <c r="G133" s="65"/>
      <c r="H133" s="44"/>
      <c r="I133" s="44">
        <v>0</v>
      </c>
      <c r="J133" s="44">
        <v>0</v>
      </c>
      <c r="K133" s="17"/>
      <c r="L133" s="60" t="e">
        <f>CONCATENATE(#REF!,F133)</f>
        <v>#REF!</v>
      </c>
      <c r="M133" s="60" t="str">
        <f t="shared" si="5"/>
        <v/>
      </c>
      <c r="N133" s="61" t="str">
        <f t="shared" si="8"/>
        <v>-</v>
      </c>
      <c r="O133" s="61"/>
      <c r="P133" s="61"/>
      <c r="Q133" s="61"/>
      <c r="R133" s="61"/>
      <c r="S133" s="61"/>
      <c r="T133" s="61"/>
    </row>
    <row r="134" spans="1:76" s="62" customFormat="1" ht="35.1" customHeight="1">
      <c r="A134" s="88"/>
      <c r="B134" s="86"/>
      <c r="C134" s="65"/>
      <c r="D134" s="65"/>
      <c r="E134" s="65"/>
      <c r="F134" s="65"/>
      <c r="G134" s="65"/>
      <c r="H134" s="44"/>
      <c r="I134" s="44">
        <v>0</v>
      </c>
      <c r="J134" s="44">
        <v>0</v>
      </c>
      <c r="K134" s="17"/>
      <c r="L134" s="60" t="e">
        <f>CONCATENATE(#REF!,F134)</f>
        <v>#REF!</v>
      </c>
      <c r="M134" s="60" t="str">
        <f t="shared" ref="M134:M197" si="9">CONCATENATE(C134,F134)</f>
        <v/>
      </c>
      <c r="N134" s="61" t="str">
        <f t="shared" si="8"/>
        <v>-</v>
      </c>
      <c r="O134" s="61"/>
      <c r="P134" s="61"/>
      <c r="Q134" s="61"/>
      <c r="R134" s="61"/>
      <c r="S134" s="61"/>
      <c r="T134" s="61"/>
    </row>
    <row r="135" spans="1:76" s="62" customFormat="1" ht="35.1" customHeight="1">
      <c r="A135" s="88"/>
      <c r="B135" s="86"/>
      <c r="C135" s="65"/>
      <c r="D135" s="65"/>
      <c r="E135" s="65"/>
      <c r="F135" s="65"/>
      <c r="G135" s="65"/>
      <c r="H135" s="44"/>
      <c r="I135" s="44">
        <v>0</v>
      </c>
      <c r="J135" s="44">
        <v>0</v>
      </c>
      <c r="K135" s="17"/>
      <c r="L135" s="60" t="e">
        <f>CONCATENATE(#REF!,F135)</f>
        <v>#REF!</v>
      </c>
      <c r="M135" s="60" t="str">
        <f t="shared" si="9"/>
        <v/>
      </c>
      <c r="N135" s="61" t="str">
        <f t="shared" si="8"/>
        <v>-</v>
      </c>
      <c r="O135" s="61"/>
      <c r="P135" s="61"/>
      <c r="Q135" s="61"/>
      <c r="R135" s="61"/>
      <c r="S135" s="61"/>
      <c r="T135" s="61"/>
    </row>
    <row r="136" spans="1:76" s="62" customFormat="1" ht="35.1" customHeight="1">
      <c r="A136" s="88"/>
      <c r="B136" s="86"/>
      <c r="C136" s="65"/>
      <c r="D136" s="65"/>
      <c r="E136" s="65"/>
      <c r="F136" s="65"/>
      <c r="G136" s="65"/>
      <c r="H136" s="44"/>
      <c r="I136" s="44">
        <v>0</v>
      </c>
      <c r="J136" s="44">
        <v>0</v>
      </c>
      <c r="K136" s="17"/>
      <c r="L136" s="60" t="e">
        <f>CONCATENATE(#REF!,F136)</f>
        <v>#REF!</v>
      </c>
      <c r="M136" s="60" t="str">
        <f t="shared" si="9"/>
        <v/>
      </c>
      <c r="N136" s="61" t="str">
        <f t="shared" si="8"/>
        <v>-</v>
      </c>
      <c r="O136" s="61"/>
      <c r="P136" s="61"/>
      <c r="Q136" s="61"/>
      <c r="R136" s="61"/>
      <c r="S136" s="61"/>
      <c r="T136" s="61"/>
    </row>
    <row r="137" spans="1:76" s="62" customFormat="1" ht="35.1" customHeight="1">
      <c r="A137" s="63"/>
      <c r="B137" s="83"/>
      <c r="C137" s="65"/>
      <c r="D137" s="65"/>
      <c r="E137" s="65"/>
      <c r="F137" s="65"/>
      <c r="G137" s="65"/>
      <c r="H137" s="44"/>
      <c r="I137" s="44">
        <v>0</v>
      </c>
      <c r="J137" s="44">
        <v>0</v>
      </c>
      <c r="K137" s="17"/>
      <c r="L137" s="60" t="e">
        <f>CONCATENATE(#REF!,F137)</f>
        <v>#REF!</v>
      </c>
      <c r="M137" s="60" t="str">
        <f t="shared" si="9"/>
        <v/>
      </c>
      <c r="N137" s="61" t="str">
        <f t="shared" si="8"/>
        <v>-</v>
      </c>
      <c r="O137" s="61"/>
      <c r="P137" s="61"/>
      <c r="Q137" s="61"/>
      <c r="R137" s="61"/>
      <c r="S137" s="61"/>
      <c r="T137" s="61"/>
    </row>
    <row r="138" spans="1:76" s="62" customFormat="1" ht="35.1" customHeight="1">
      <c r="A138" s="63"/>
      <c r="B138" s="83"/>
      <c r="C138" s="81"/>
      <c r="D138" s="65"/>
      <c r="E138" s="65"/>
      <c r="F138" s="81"/>
      <c r="G138" s="81"/>
      <c r="H138" s="44"/>
      <c r="I138" s="44"/>
      <c r="J138" s="44"/>
      <c r="K138" s="17"/>
      <c r="L138" s="60" t="e">
        <f>CONCATENATE(#REF!,F138)</f>
        <v>#REF!</v>
      </c>
      <c r="M138" s="60" t="str">
        <f t="shared" si="9"/>
        <v/>
      </c>
      <c r="N138" s="61" t="str">
        <f t="shared" si="8"/>
        <v>-</v>
      </c>
      <c r="O138" s="61"/>
      <c r="P138" s="61"/>
      <c r="Q138" s="61"/>
      <c r="R138" s="61"/>
      <c r="S138" s="61"/>
      <c r="T138" s="61"/>
    </row>
    <row r="139" spans="1:76" s="62" customFormat="1" ht="35.1" customHeight="1">
      <c r="A139" s="63"/>
      <c r="B139" s="83"/>
      <c r="C139" s="81"/>
      <c r="D139" s="65"/>
      <c r="E139" s="65"/>
      <c r="F139" s="81"/>
      <c r="G139" s="81"/>
      <c r="H139" s="44"/>
      <c r="I139" s="44">
        <v>0</v>
      </c>
      <c r="J139" s="44">
        <v>0</v>
      </c>
      <c r="K139" s="17"/>
      <c r="L139" s="60" t="e">
        <f>CONCATENATE(#REF!,F139)</f>
        <v>#REF!</v>
      </c>
      <c r="M139" s="60" t="str">
        <f t="shared" si="9"/>
        <v/>
      </c>
      <c r="N139" s="61" t="str">
        <f t="shared" si="8"/>
        <v>-</v>
      </c>
      <c r="O139" s="61"/>
      <c r="P139" s="61"/>
      <c r="Q139" s="61"/>
      <c r="R139" s="61"/>
      <c r="S139" s="61"/>
      <c r="T139" s="61"/>
    </row>
    <row r="140" spans="1:76" s="62" customFormat="1" ht="35.1" customHeight="1">
      <c r="A140" s="63"/>
      <c r="B140" s="83"/>
      <c r="C140" s="81"/>
      <c r="D140" s="65"/>
      <c r="E140" s="65"/>
      <c r="F140" s="81"/>
      <c r="G140" s="81"/>
      <c r="H140" s="44">
        <v>0</v>
      </c>
      <c r="I140" s="44">
        <v>0</v>
      </c>
      <c r="J140" s="44">
        <v>0</v>
      </c>
      <c r="K140" s="17"/>
      <c r="L140" s="60" t="e">
        <f>CONCATENATE(#REF!,F140)</f>
        <v>#REF!</v>
      </c>
      <c r="M140" s="60" t="str">
        <f t="shared" si="9"/>
        <v/>
      </c>
      <c r="N140" s="61" t="str">
        <f t="shared" si="8"/>
        <v>-</v>
      </c>
      <c r="O140" s="61"/>
      <c r="P140" s="61"/>
      <c r="Q140" s="61"/>
      <c r="R140" s="61"/>
      <c r="S140" s="61"/>
      <c r="T140" s="61"/>
    </row>
    <row r="141" spans="1:76" s="62" customFormat="1" ht="35.1" customHeight="1">
      <c r="A141" s="63"/>
      <c r="B141" s="83"/>
      <c r="C141" s="81"/>
      <c r="D141" s="65"/>
      <c r="E141" s="65"/>
      <c r="F141" s="81"/>
      <c r="G141" s="81"/>
      <c r="H141" s="44">
        <v>0</v>
      </c>
      <c r="I141" s="44">
        <v>0</v>
      </c>
      <c r="J141" s="44">
        <v>0</v>
      </c>
      <c r="K141" s="17"/>
      <c r="L141" s="60" t="e">
        <f>CONCATENATE(#REF!,F141)</f>
        <v>#REF!</v>
      </c>
      <c r="M141" s="60" t="str">
        <f t="shared" si="9"/>
        <v/>
      </c>
      <c r="N141" s="61" t="str">
        <f t="shared" si="8"/>
        <v>-</v>
      </c>
      <c r="O141" s="61"/>
      <c r="P141" s="61"/>
      <c r="Q141" s="61"/>
      <c r="R141" s="61"/>
      <c r="S141" s="61"/>
      <c r="T141" s="61"/>
    </row>
    <row r="142" spans="1:76" s="62" customFormat="1" ht="35.1" customHeight="1">
      <c r="A142" s="63"/>
      <c r="B142" s="83"/>
      <c r="C142" s="81"/>
      <c r="D142" s="65"/>
      <c r="E142" s="65"/>
      <c r="F142" s="81"/>
      <c r="G142" s="81"/>
      <c r="H142" s="44">
        <v>0</v>
      </c>
      <c r="I142" s="44">
        <v>0</v>
      </c>
      <c r="J142" s="44">
        <v>0</v>
      </c>
      <c r="K142" s="17"/>
      <c r="L142" s="60" t="e">
        <f>CONCATENATE(#REF!,F142)</f>
        <v>#REF!</v>
      </c>
      <c r="M142" s="60" t="str">
        <f t="shared" si="9"/>
        <v/>
      </c>
      <c r="N142" s="61" t="str">
        <f t="shared" si="8"/>
        <v>-</v>
      </c>
      <c r="O142" s="61"/>
      <c r="P142" s="61"/>
      <c r="Q142" s="61"/>
      <c r="R142" s="61"/>
      <c r="S142" s="61"/>
      <c r="T142" s="61"/>
    </row>
    <row r="143" spans="1:76" s="62" customFormat="1" ht="35.1" customHeight="1">
      <c r="A143" s="63"/>
      <c r="B143" s="64"/>
      <c r="C143" s="65"/>
      <c r="D143" s="65"/>
      <c r="E143" s="65"/>
      <c r="F143" s="65"/>
      <c r="G143" s="65"/>
      <c r="H143" s="44"/>
      <c r="I143" s="44"/>
      <c r="J143" s="44"/>
      <c r="K143" s="17"/>
      <c r="L143" s="60" t="e">
        <f>CONCATENATE(#REF!,F143)</f>
        <v>#REF!</v>
      </c>
      <c r="M143" s="60" t="str">
        <f t="shared" si="9"/>
        <v/>
      </c>
      <c r="N143" s="61" t="str">
        <f t="shared" si="8"/>
        <v>-</v>
      </c>
      <c r="O143" s="61"/>
      <c r="P143" s="61"/>
      <c r="Q143" s="61"/>
      <c r="R143" s="61"/>
      <c r="S143" s="61"/>
      <c r="T143" s="61"/>
    </row>
    <row r="144" spans="1:76" s="62" customFormat="1" ht="35.1" customHeight="1">
      <c r="A144" s="63"/>
      <c r="B144" s="64"/>
      <c r="C144" s="65"/>
      <c r="D144" s="65"/>
      <c r="E144" s="65"/>
      <c r="F144" s="65"/>
      <c r="G144" s="65"/>
      <c r="H144" s="44"/>
      <c r="I144" s="44"/>
      <c r="J144" s="44"/>
      <c r="K144" s="17"/>
      <c r="L144" s="60" t="e">
        <f>CONCATENATE(#REF!,F144)</f>
        <v>#REF!</v>
      </c>
      <c r="M144" s="60" t="str">
        <f t="shared" si="9"/>
        <v/>
      </c>
      <c r="N144" s="61" t="str">
        <f t="shared" si="8"/>
        <v>-</v>
      </c>
      <c r="O144" s="61"/>
      <c r="P144" s="61"/>
      <c r="Q144" s="61"/>
      <c r="R144" s="61"/>
      <c r="S144" s="61"/>
      <c r="T144" s="61"/>
    </row>
    <row r="145" spans="1:76" s="62" customFormat="1" ht="35.1" customHeight="1">
      <c r="A145" s="63"/>
      <c r="B145" s="64"/>
      <c r="C145" s="65"/>
      <c r="D145" s="65"/>
      <c r="E145" s="65"/>
      <c r="F145" s="65"/>
      <c r="G145" s="65"/>
      <c r="H145" s="44"/>
      <c r="I145" s="44"/>
      <c r="J145" s="44"/>
      <c r="K145" s="17"/>
      <c r="L145" s="60" t="e">
        <f>CONCATENATE(#REF!,F145)</f>
        <v>#REF!</v>
      </c>
      <c r="M145" s="60" t="str">
        <f t="shared" si="9"/>
        <v/>
      </c>
      <c r="N145" s="61" t="str">
        <f t="shared" si="8"/>
        <v>-</v>
      </c>
      <c r="O145" s="61"/>
      <c r="P145" s="61"/>
      <c r="Q145" s="61"/>
      <c r="R145" s="61"/>
      <c r="S145" s="61"/>
      <c r="T145" s="61"/>
    </row>
    <row r="146" spans="1:76" s="62" customFormat="1" ht="35.1" customHeight="1">
      <c r="A146" s="63"/>
      <c r="B146" s="64"/>
      <c r="C146" s="65"/>
      <c r="D146" s="65"/>
      <c r="E146" s="65"/>
      <c r="F146" s="65"/>
      <c r="G146" s="65"/>
      <c r="H146" s="44"/>
      <c r="I146" s="44"/>
      <c r="J146" s="44"/>
      <c r="K146" s="17"/>
      <c r="L146" s="60" t="e">
        <f>CONCATENATE(#REF!,F146)</f>
        <v>#REF!</v>
      </c>
      <c r="M146" s="60" t="str">
        <f t="shared" si="9"/>
        <v/>
      </c>
      <c r="N146" s="61" t="str">
        <f t="shared" si="8"/>
        <v>-</v>
      </c>
      <c r="O146" s="61"/>
      <c r="P146" s="61"/>
      <c r="Q146" s="61"/>
      <c r="R146" s="61"/>
      <c r="S146" s="61"/>
      <c r="T146" s="61"/>
    </row>
    <row r="147" spans="1:76" s="62" customFormat="1" ht="35.1" customHeight="1">
      <c r="A147" s="63"/>
      <c r="B147" s="64"/>
      <c r="C147" s="65"/>
      <c r="D147" s="65"/>
      <c r="E147" s="65"/>
      <c r="F147" s="65"/>
      <c r="G147" s="65"/>
      <c r="H147" s="44"/>
      <c r="I147" s="44"/>
      <c r="J147" s="44"/>
      <c r="K147" s="17"/>
      <c r="L147" s="60" t="e">
        <f>CONCATENATE(#REF!,F147)</f>
        <v>#REF!</v>
      </c>
      <c r="M147" s="60" t="str">
        <f t="shared" si="9"/>
        <v/>
      </c>
      <c r="N147" s="61" t="str">
        <f t="shared" si="8"/>
        <v>-</v>
      </c>
      <c r="O147" s="61"/>
      <c r="P147" s="61"/>
      <c r="Q147" s="61"/>
      <c r="R147" s="61"/>
      <c r="S147" s="61"/>
      <c r="T147" s="61"/>
    </row>
    <row r="148" spans="1:76" s="62" customFormat="1" ht="35.1" customHeight="1">
      <c r="A148" s="63"/>
      <c r="B148" s="64"/>
      <c r="C148" s="65"/>
      <c r="D148" s="65"/>
      <c r="E148" s="65"/>
      <c r="F148" s="65"/>
      <c r="G148" s="65"/>
      <c r="H148" s="44"/>
      <c r="I148" s="44"/>
      <c r="J148" s="44"/>
      <c r="K148" s="17"/>
      <c r="L148" s="60" t="e">
        <f>CONCATENATE(#REF!,F148)</f>
        <v>#REF!</v>
      </c>
      <c r="M148" s="60" t="str">
        <f t="shared" si="9"/>
        <v/>
      </c>
      <c r="N148" s="61" t="str">
        <f t="shared" si="8"/>
        <v>-</v>
      </c>
      <c r="O148" s="61"/>
      <c r="P148" s="61"/>
      <c r="Q148" s="61"/>
      <c r="R148" s="61"/>
      <c r="S148" s="61"/>
      <c r="T148" s="61"/>
    </row>
    <row r="149" spans="1:76" s="62" customFormat="1" ht="35.1" customHeight="1">
      <c r="A149" s="63"/>
      <c r="B149" s="64"/>
      <c r="C149" s="65"/>
      <c r="D149" s="65"/>
      <c r="E149" s="65"/>
      <c r="F149" s="65"/>
      <c r="G149" s="65"/>
      <c r="H149" s="44"/>
      <c r="I149" s="44"/>
      <c r="J149" s="44"/>
      <c r="K149" s="17"/>
      <c r="L149" s="60" t="e">
        <f>CONCATENATE(#REF!,F149)</f>
        <v>#REF!</v>
      </c>
      <c r="M149" s="60" t="str">
        <f t="shared" si="9"/>
        <v/>
      </c>
      <c r="N149" s="61" t="str">
        <f t="shared" si="8"/>
        <v>-</v>
      </c>
      <c r="O149" s="61"/>
      <c r="P149" s="61"/>
      <c r="Q149" s="61"/>
      <c r="R149" s="61"/>
      <c r="S149" s="61"/>
      <c r="T149" s="61"/>
    </row>
    <row r="150" spans="1:76" s="62" customFormat="1" ht="35.1" customHeight="1">
      <c r="A150" s="63"/>
      <c r="B150" s="64"/>
      <c r="C150" s="65"/>
      <c r="D150" s="65"/>
      <c r="E150" s="65"/>
      <c r="F150" s="65"/>
      <c r="G150" s="65"/>
      <c r="H150" s="44"/>
      <c r="I150" s="44"/>
      <c r="J150" s="44"/>
      <c r="K150" s="17"/>
      <c r="L150" s="60" t="e">
        <f>CONCATENATE(#REF!,F150)</f>
        <v>#REF!</v>
      </c>
      <c r="M150" s="60" t="str">
        <f t="shared" si="9"/>
        <v/>
      </c>
      <c r="N150" s="61" t="str">
        <f t="shared" si="8"/>
        <v>-</v>
      </c>
      <c r="O150" s="61"/>
      <c r="P150" s="61"/>
      <c r="Q150" s="61"/>
      <c r="R150" s="61"/>
      <c r="S150" s="61"/>
      <c r="T150" s="61"/>
    </row>
    <row r="151" spans="1:76" s="62" customFormat="1" ht="35.1" customHeight="1">
      <c r="A151" s="77"/>
      <c r="B151" s="78"/>
      <c r="C151" s="79"/>
      <c r="D151" s="79"/>
      <c r="E151" s="79"/>
      <c r="F151" s="79"/>
      <c r="G151" s="79"/>
      <c r="H151" s="90"/>
      <c r="I151" s="90"/>
      <c r="J151" s="90"/>
      <c r="K151" s="91"/>
      <c r="L151" s="60" t="e">
        <f>CONCATENATE(#REF!,F151)</f>
        <v>#REF!</v>
      </c>
      <c r="M151" s="60" t="str">
        <f t="shared" si="9"/>
        <v/>
      </c>
      <c r="N151" s="61" t="str">
        <f t="shared" si="8"/>
        <v>-</v>
      </c>
      <c r="O151" s="61"/>
      <c r="P151" s="61"/>
      <c r="Q151" s="61"/>
      <c r="R151" s="61"/>
      <c r="S151" s="61"/>
      <c r="T151" s="61"/>
    </row>
    <row r="152" spans="1:76" s="73" customFormat="1" ht="35.1" customHeight="1">
      <c r="A152" s="66" t="s">
        <v>41</v>
      </c>
      <c r="B152" s="67"/>
      <c r="C152" s="68"/>
      <c r="D152" s="69"/>
      <c r="E152" s="69">
        <f>SUM(E132:E151)</f>
        <v>0</v>
      </c>
      <c r="F152" s="70"/>
      <c r="G152" s="70"/>
      <c r="H152" s="70"/>
      <c r="I152" s="70"/>
      <c r="J152" s="70"/>
      <c r="K152" s="71"/>
      <c r="L152" s="60" t="e">
        <f>CONCATENATE(#REF!,F152)</f>
        <v>#REF!</v>
      </c>
      <c r="M152" s="60" t="str">
        <f t="shared" si="9"/>
        <v/>
      </c>
      <c r="N152" s="61"/>
      <c r="O152" s="61"/>
      <c r="P152" s="61"/>
      <c r="Q152" s="61"/>
      <c r="R152" s="61"/>
      <c r="S152" s="61"/>
      <c r="T152" s="61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</row>
    <row r="153" spans="1:76" s="62" customFormat="1" ht="35.1" customHeight="1">
      <c r="A153" s="87"/>
      <c r="B153" s="82"/>
      <c r="C153" s="80"/>
      <c r="D153" s="59"/>
      <c r="E153" s="59"/>
      <c r="F153" s="80"/>
      <c r="G153" s="80"/>
      <c r="H153" s="43"/>
      <c r="I153" s="43"/>
      <c r="J153" s="43"/>
      <c r="K153" s="16"/>
      <c r="L153" s="60" t="e">
        <f>CONCATENATE(#REF!,F153)</f>
        <v>#REF!</v>
      </c>
      <c r="M153" s="60" t="str">
        <f t="shared" si="9"/>
        <v/>
      </c>
      <c r="N153" s="61" t="str">
        <f t="shared" ref="N153:N172" si="10">IF(D153&gt;=E153,"-","err")</f>
        <v>-</v>
      </c>
      <c r="O153" s="61"/>
      <c r="P153" s="61"/>
      <c r="Q153" s="61"/>
      <c r="R153" s="61"/>
      <c r="S153" s="61"/>
      <c r="T153" s="61"/>
    </row>
    <row r="154" spans="1:76" s="62" customFormat="1" ht="35.1" customHeight="1">
      <c r="A154" s="88"/>
      <c r="B154" s="83"/>
      <c r="C154" s="65"/>
      <c r="D154" s="65"/>
      <c r="E154" s="65"/>
      <c r="F154" s="65"/>
      <c r="G154" s="65"/>
      <c r="H154" s="44"/>
      <c r="I154" s="44">
        <v>0</v>
      </c>
      <c r="J154" s="44">
        <v>0</v>
      </c>
      <c r="K154" s="17"/>
      <c r="L154" s="60" t="e">
        <f>CONCATENATE(#REF!,F154)</f>
        <v>#REF!</v>
      </c>
      <c r="M154" s="60" t="str">
        <f t="shared" si="9"/>
        <v/>
      </c>
      <c r="N154" s="61" t="str">
        <f t="shared" si="10"/>
        <v>-</v>
      </c>
      <c r="O154" s="61"/>
      <c r="P154" s="61"/>
      <c r="Q154" s="61"/>
      <c r="R154" s="61"/>
      <c r="S154" s="61"/>
      <c r="T154" s="61"/>
    </row>
    <row r="155" spans="1:76" s="62" customFormat="1" ht="35.1" customHeight="1">
      <c r="A155" s="88"/>
      <c r="B155" s="86"/>
      <c r="C155" s="65"/>
      <c r="D155" s="65"/>
      <c r="E155" s="65"/>
      <c r="F155" s="65"/>
      <c r="G155" s="65"/>
      <c r="H155" s="44"/>
      <c r="I155" s="44">
        <v>0</v>
      </c>
      <c r="J155" s="44">
        <v>0</v>
      </c>
      <c r="K155" s="17"/>
      <c r="L155" s="60" t="e">
        <f>CONCATENATE(#REF!,F155)</f>
        <v>#REF!</v>
      </c>
      <c r="M155" s="60" t="str">
        <f t="shared" si="9"/>
        <v/>
      </c>
      <c r="N155" s="61" t="str">
        <f t="shared" si="10"/>
        <v>-</v>
      </c>
      <c r="O155" s="61"/>
      <c r="P155" s="61"/>
      <c r="Q155" s="61"/>
      <c r="R155" s="61"/>
      <c r="S155" s="61"/>
      <c r="T155" s="61"/>
    </row>
    <row r="156" spans="1:76" s="62" customFormat="1" ht="35.1" customHeight="1">
      <c r="A156" s="88"/>
      <c r="B156" s="86"/>
      <c r="C156" s="65"/>
      <c r="D156" s="65"/>
      <c r="E156" s="65"/>
      <c r="F156" s="65"/>
      <c r="G156" s="65"/>
      <c r="H156" s="44"/>
      <c r="I156" s="44">
        <v>0</v>
      </c>
      <c r="J156" s="44">
        <v>0</v>
      </c>
      <c r="K156" s="17"/>
      <c r="L156" s="60" t="e">
        <f>CONCATENATE(#REF!,F156)</f>
        <v>#REF!</v>
      </c>
      <c r="M156" s="60" t="str">
        <f t="shared" si="9"/>
        <v/>
      </c>
      <c r="N156" s="61" t="str">
        <f t="shared" si="10"/>
        <v>-</v>
      </c>
      <c r="O156" s="61"/>
      <c r="P156" s="61"/>
      <c r="Q156" s="61"/>
      <c r="R156" s="61"/>
      <c r="S156" s="61"/>
      <c r="T156" s="61"/>
    </row>
    <row r="157" spans="1:76" s="62" customFormat="1" ht="35.1" customHeight="1">
      <c r="A157" s="88"/>
      <c r="B157" s="86"/>
      <c r="C157" s="65"/>
      <c r="D157" s="65"/>
      <c r="E157" s="65"/>
      <c r="F157" s="65"/>
      <c r="G157" s="65"/>
      <c r="H157" s="44"/>
      <c r="I157" s="44">
        <v>0</v>
      </c>
      <c r="J157" s="44">
        <v>0</v>
      </c>
      <c r="K157" s="17"/>
      <c r="L157" s="60" t="e">
        <f>CONCATENATE(#REF!,F157)</f>
        <v>#REF!</v>
      </c>
      <c r="M157" s="60" t="str">
        <f t="shared" si="9"/>
        <v/>
      </c>
      <c r="N157" s="61" t="str">
        <f t="shared" si="10"/>
        <v>-</v>
      </c>
      <c r="O157" s="61"/>
      <c r="P157" s="61"/>
      <c r="Q157" s="61"/>
      <c r="R157" s="61"/>
      <c r="S157" s="61"/>
      <c r="T157" s="61"/>
    </row>
    <row r="158" spans="1:76" s="62" customFormat="1" ht="35.1" customHeight="1">
      <c r="A158" s="63"/>
      <c r="B158" s="83"/>
      <c r="C158" s="65"/>
      <c r="D158" s="65"/>
      <c r="E158" s="65"/>
      <c r="F158" s="65"/>
      <c r="G158" s="65"/>
      <c r="H158" s="44"/>
      <c r="I158" s="44">
        <v>0</v>
      </c>
      <c r="J158" s="44">
        <v>0</v>
      </c>
      <c r="K158" s="17"/>
      <c r="L158" s="60" t="e">
        <f>CONCATENATE(#REF!,F158)</f>
        <v>#REF!</v>
      </c>
      <c r="M158" s="60" t="str">
        <f t="shared" si="9"/>
        <v/>
      </c>
      <c r="N158" s="61" t="str">
        <f t="shared" si="10"/>
        <v>-</v>
      </c>
      <c r="O158" s="61"/>
      <c r="P158" s="61"/>
      <c r="Q158" s="61"/>
      <c r="R158" s="61"/>
      <c r="S158" s="61"/>
      <c r="T158" s="61"/>
    </row>
    <row r="159" spans="1:76" s="62" customFormat="1" ht="35.1" customHeight="1">
      <c r="A159" s="63"/>
      <c r="B159" s="83"/>
      <c r="C159" s="81"/>
      <c r="D159" s="65"/>
      <c r="E159" s="65"/>
      <c r="F159" s="81"/>
      <c r="G159" s="81"/>
      <c r="H159" s="44"/>
      <c r="I159" s="44"/>
      <c r="J159" s="44"/>
      <c r="K159" s="17"/>
      <c r="L159" s="60" t="e">
        <f>CONCATENATE(#REF!,F159)</f>
        <v>#REF!</v>
      </c>
      <c r="M159" s="60" t="str">
        <f t="shared" si="9"/>
        <v/>
      </c>
      <c r="N159" s="61" t="str">
        <f t="shared" si="10"/>
        <v>-</v>
      </c>
      <c r="O159" s="61"/>
      <c r="P159" s="61"/>
      <c r="Q159" s="61"/>
      <c r="R159" s="61"/>
      <c r="S159" s="61"/>
      <c r="T159" s="61"/>
    </row>
    <row r="160" spans="1:76" s="62" customFormat="1" ht="35.1" customHeight="1">
      <c r="A160" s="63"/>
      <c r="B160" s="83"/>
      <c r="C160" s="81"/>
      <c r="D160" s="65"/>
      <c r="E160" s="65"/>
      <c r="F160" s="81"/>
      <c r="G160" s="81"/>
      <c r="H160" s="44"/>
      <c r="I160" s="44">
        <v>0</v>
      </c>
      <c r="J160" s="44">
        <v>0</v>
      </c>
      <c r="K160" s="17"/>
      <c r="L160" s="60" t="e">
        <f>CONCATENATE(#REF!,F160)</f>
        <v>#REF!</v>
      </c>
      <c r="M160" s="60" t="str">
        <f t="shared" si="9"/>
        <v/>
      </c>
      <c r="N160" s="61" t="str">
        <f t="shared" si="10"/>
        <v>-</v>
      </c>
      <c r="O160" s="61"/>
      <c r="P160" s="61"/>
      <c r="Q160" s="61"/>
      <c r="R160" s="61"/>
      <c r="S160" s="61"/>
      <c r="T160" s="61"/>
    </row>
    <row r="161" spans="1:76" s="62" customFormat="1" ht="35.1" customHeight="1">
      <c r="A161" s="63"/>
      <c r="B161" s="83"/>
      <c r="C161" s="81"/>
      <c r="D161" s="65"/>
      <c r="E161" s="65"/>
      <c r="F161" s="81"/>
      <c r="G161" s="81"/>
      <c r="H161" s="44">
        <v>0</v>
      </c>
      <c r="I161" s="44">
        <v>0</v>
      </c>
      <c r="J161" s="44">
        <v>0</v>
      </c>
      <c r="K161" s="17"/>
      <c r="L161" s="60" t="e">
        <f>CONCATENATE(#REF!,F161)</f>
        <v>#REF!</v>
      </c>
      <c r="M161" s="60" t="str">
        <f t="shared" si="9"/>
        <v/>
      </c>
      <c r="N161" s="61" t="str">
        <f t="shared" si="10"/>
        <v>-</v>
      </c>
      <c r="O161" s="61"/>
      <c r="P161" s="61"/>
      <c r="Q161" s="61"/>
      <c r="R161" s="61"/>
      <c r="S161" s="61"/>
      <c r="T161" s="61"/>
    </row>
    <row r="162" spans="1:76" s="62" customFormat="1" ht="35.1" customHeight="1">
      <c r="A162" s="63"/>
      <c r="B162" s="83"/>
      <c r="C162" s="81"/>
      <c r="D162" s="65"/>
      <c r="E162" s="65"/>
      <c r="F162" s="81"/>
      <c r="G162" s="81"/>
      <c r="H162" s="44">
        <v>0</v>
      </c>
      <c r="I162" s="44">
        <v>0</v>
      </c>
      <c r="J162" s="44">
        <v>0</v>
      </c>
      <c r="K162" s="17"/>
      <c r="L162" s="60" t="e">
        <f>CONCATENATE(#REF!,F162)</f>
        <v>#REF!</v>
      </c>
      <c r="M162" s="60" t="str">
        <f t="shared" si="9"/>
        <v/>
      </c>
      <c r="N162" s="61" t="str">
        <f t="shared" si="10"/>
        <v>-</v>
      </c>
      <c r="O162" s="61"/>
      <c r="P162" s="61"/>
      <c r="Q162" s="61"/>
      <c r="R162" s="61"/>
      <c r="S162" s="61"/>
      <c r="T162" s="61"/>
    </row>
    <row r="163" spans="1:76" s="62" customFormat="1" ht="35.1" customHeight="1">
      <c r="A163" s="63"/>
      <c r="B163" s="83"/>
      <c r="C163" s="81"/>
      <c r="D163" s="65"/>
      <c r="E163" s="65"/>
      <c r="F163" s="81"/>
      <c r="G163" s="81"/>
      <c r="H163" s="44">
        <v>0</v>
      </c>
      <c r="I163" s="44">
        <v>0</v>
      </c>
      <c r="J163" s="44">
        <v>0</v>
      </c>
      <c r="K163" s="17"/>
      <c r="L163" s="60" t="e">
        <f>CONCATENATE(#REF!,F163)</f>
        <v>#REF!</v>
      </c>
      <c r="M163" s="60" t="str">
        <f t="shared" si="9"/>
        <v/>
      </c>
      <c r="N163" s="61" t="str">
        <f t="shared" si="10"/>
        <v>-</v>
      </c>
      <c r="O163" s="61"/>
      <c r="P163" s="61"/>
      <c r="Q163" s="61"/>
      <c r="R163" s="61"/>
      <c r="S163" s="61"/>
      <c r="T163" s="61"/>
    </row>
    <row r="164" spans="1:76" s="62" customFormat="1" ht="35.1" customHeight="1">
      <c r="A164" s="63"/>
      <c r="B164" s="64"/>
      <c r="C164" s="65"/>
      <c r="D164" s="65"/>
      <c r="E164" s="65"/>
      <c r="F164" s="65"/>
      <c r="G164" s="65"/>
      <c r="H164" s="44"/>
      <c r="I164" s="44"/>
      <c r="J164" s="44"/>
      <c r="K164" s="17"/>
      <c r="L164" s="60" t="e">
        <f>CONCATENATE(#REF!,F164)</f>
        <v>#REF!</v>
      </c>
      <c r="M164" s="60" t="str">
        <f t="shared" si="9"/>
        <v/>
      </c>
      <c r="N164" s="61" t="str">
        <f t="shared" si="10"/>
        <v>-</v>
      </c>
      <c r="O164" s="61"/>
      <c r="P164" s="61"/>
      <c r="Q164" s="61"/>
      <c r="R164" s="61"/>
      <c r="S164" s="61"/>
      <c r="T164" s="61"/>
    </row>
    <row r="165" spans="1:76" s="62" customFormat="1" ht="35.1" customHeight="1">
      <c r="A165" s="63"/>
      <c r="B165" s="64"/>
      <c r="C165" s="65"/>
      <c r="D165" s="65"/>
      <c r="E165" s="65"/>
      <c r="F165" s="65"/>
      <c r="G165" s="65"/>
      <c r="H165" s="44"/>
      <c r="I165" s="44"/>
      <c r="J165" s="44"/>
      <c r="K165" s="17"/>
      <c r="L165" s="60" t="e">
        <f>CONCATENATE(#REF!,F165)</f>
        <v>#REF!</v>
      </c>
      <c r="M165" s="60" t="str">
        <f t="shared" si="9"/>
        <v/>
      </c>
      <c r="N165" s="61" t="str">
        <f t="shared" si="10"/>
        <v>-</v>
      </c>
      <c r="O165" s="61"/>
      <c r="P165" s="61"/>
      <c r="Q165" s="61"/>
      <c r="R165" s="61"/>
      <c r="S165" s="61"/>
      <c r="T165" s="61"/>
    </row>
    <row r="166" spans="1:76" s="62" customFormat="1" ht="35.1" customHeight="1">
      <c r="A166" s="63"/>
      <c r="B166" s="64"/>
      <c r="C166" s="65"/>
      <c r="D166" s="65"/>
      <c r="E166" s="65"/>
      <c r="F166" s="65"/>
      <c r="G166" s="65"/>
      <c r="H166" s="44"/>
      <c r="I166" s="44"/>
      <c r="J166" s="44"/>
      <c r="K166" s="17"/>
      <c r="L166" s="60" t="e">
        <f>CONCATENATE(#REF!,F166)</f>
        <v>#REF!</v>
      </c>
      <c r="M166" s="60" t="str">
        <f t="shared" si="9"/>
        <v/>
      </c>
      <c r="N166" s="61" t="str">
        <f t="shared" si="10"/>
        <v>-</v>
      </c>
      <c r="O166" s="61"/>
      <c r="P166" s="61"/>
      <c r="Q166" s="61"/>
      <c r="R166" s="61"/>
      <c r="S166" s="61"/>
      <c r="T166" s="61"/>
    </row>
    <row r="167" spans="1:76" s="62" customFormat="1" ht="35.1" customHeight="1">
      <c r="A167" s="63"/>
      <c r="B167" s="64"/>
      <c r="C167" s="65"/>
      <c r="D167" s="65"/>
      <c r="E167" s="65"/>
      <c r="F167" s="65"/>
      <c r="G167" s="65"/>
      <c r="H167" s="44"/>
      <c r="I167" s="44"/>
      <c r="J167" s="44"/>
      <c r="K167" s="17"/>
      <c r="L167" s="60" t="e">
        <f>CONCATENATE(#REF!,F167)</f>
        <v>#REF!</v>
      </c>
      <c r="M167" s="60" t="str">
        <f t="shared" si="9"/>
        <v/>
      </c>
      <c r="N167" s="61" t="str">
        <f t="shared" si="10"/>
        <v>-</v>
      </c>
      <c r="O167" s="61"/>
      <c r="P167" s="61"/>
      <c r="Q167" s="61"/>
      <c r="R167" s="61"/>
      <c r="S167" s="61"/>
      <c r="T167" s="61"/>
    </row>
    <row r="168" spans="1:76" s="62" customFormat="1" ht="35.1" customHeight="1">
      <c r="A168" s="63"/>
      <c r="B168" s="64"/>
      <c r="C168" s="65"/>
      <c r="D168" s="65"/>
      <c r="E168" s="65"/>
      <c r="F168" s="65"/>
      <c r="G168" s="65"/>
      <c r="H168" s="44"/>
      <c r="I168" s="44"/>
      <c r="J168" s="44"/>
      <c r="K168" s="17"/>
      <c r="L168" s="60" t="e">
        <f>CONCATENATE(#REF!,F168)</f>
        <v>#REF!</v>
      </c>
      <c r="M168" s="60" t="str">
        <f t="shared" si="9"/>
        <v/>
      </c>
      <c r="N168" s="61" t="str">
        <f t="shared" si="10"/>
        <v>-</v>
      </c>
      <c r="O168" s="61"/>
      <c r="P168" s="61"/>
      <c r="Q168" s="61"/>
      <c r="R168" s="61"/>
      <c r="S168" s="61"/>
      <c r="T168" s="61"/>
    </row>
    <row r="169" spans="1:76" s="62" customFormat="1" ht="35.1" customHeight="1">
      <c r="A169" s="63"/>
      <c r="B169" s="64"/>
      <c r="C169" s="65"/>
      <c r="D169" s="65"/>
      <c r="E169" s="65"/>
      <c r="F169" s="65"/>
      <c r="G169" s="65"/>
      <c r="H169" s="44"/>
      <c r="I169" s="44"/>
      <c r="J169" s="44"/>
      <c r="K169" s="17"/>
      <c r="L169" s="60" t="e">
        <f>CONCATENATE(#REF!,F169)</f>
        <v>#REF!</v>
      </c>
      <c r="M169" s="60" t="str">
        <f t="shared" si="9"/>
        <v/>
      </c>
      <c r="N169" s="61" t="str">
        <f t="shared" si="10"/>
        <v>-</v>
      </c>
      <c r="O169" s="61"/>
      <c r="P169" s="61"/>
      <c r="Q169" s="61"/>
      <c r="R169" s="61"/>
      <c r="S169" s="61"/>
      <c r="T169" s="61"/>
    </row>
    <row r="170" spans="1:76" s="62" customFormat="1" ht="35.1" customHeight="1">
      <c r="A170" s="63"/>
      <c r="B170" s="64"/>
      <c r="C170" s="65"/>
      <c r="D170" s="65"/>
      <c r="E170" s="65"/>
      <c r="F170" s="65"/>
      <c r="G170" s="65"/>
      <c r="H170" s="44"/>
      <c r="I170" s="44"/>
      <c r="J170" s="44"/>
      <c r="K170" s="17"/>
      <c r="L170" s="60" t="e">
        <f>CONCATENATE(#REF!,F170)</f>
        <v>#REF!</v>
      </c>
      <c r="M170" s="60" t="str">
        <f t="shared" si="9"/>
        <v/>
      </c>
      <c r="N170" s="61" t="str">
        <f t="shared" si="10"/>
        <v>-</v>
      </c>
      <c r="O170" s="61"/>
      <c r="P170" s="61"/>
      <c r="Q170" s="61"/>
      <c r="R170" s="61"/>
      <c r="S170" s="61"/>
      <c r="T170" s="61"/>
    </row>
    <row r="171" spans="1:76" s="62" customFormat="1" ht="35.1" customHeight="1">
      <c r="A171" s="63"/>
      <c r="B171" s="64"/>
      <c r="C171" s="65"/>
      <c r="D171" s="65"/>
      <c r="E171" s="65"/>
      <c r="F171" s="65"/>
      <c r="G171" s="65"/>
      <c r="H171" s="44"/>
      <c r="I171" s="44"/>
      <c r="J171" s="44"/>
      <c r="K171" s="17"/>
      <c r="L171" s="60" t="e">
        <f>CONCATENATE(#REF!,F171)</f>
        <v>#REF!</v>
      </c>
      <c r="M171" s="60" t="str">
        <f t="shared" si="9"/>
        <v/>
      </c>
      <c r="N171" s="61" t="str">
        <f t="shared" si="10"/>
        <v>-</v>
      </c>
      <c r="O171" s="61"/>
      <c r="P171" s="61"/>
      <c r="Q171" s="61"/>
      <c r="R171" s="61"/>
      <c r="S171" s="61"/>
      <c r="T171" s="61"/>
    </row>
    <row r="172" spans="1:76" s="62" customFormat="1" ht="35.1" customHeight="1">
      <c r="A172" s="77"/>
      <c r="B172" s="78"/>
      <c r="C172" s="79"/>
      <c r="D172" s="79"/>
      <c r="E172" s="79"/>
      <c r="F172" s="79"/>
      <c r="G172" s="79"/>
      <c r="H172" s="90"/>
      <c r="I172" s="90"/>
      <c r="J172" s="90"/>
      <c r="K172" s="91"/>
      <c r="L172" s="60" t="e">
        <f>CONCATENATE(#REF!,F172)</f>
        <v>#REF!</v>
      </c>
      <c r="M172" s="60" t="str">
        <f t="shared" si="9"/>
        <v/>
      </c>
      <c r="N172" s="61" t="str">
        <f t="shared" si="10"/>
        <v>-</v>
      </c>
      <c r="O172" s="61"/>
      <c r="P172" s="61"/>
      <c r="Q172" s="61"/>
      <c r="R172" s="61"/>
      <c r="S172" s="61"/>
      <c r="T172" s="61"/>
    </row>
    <row r="173" spans="1:76" s="73" customFormat="1" ht="35.1" customHeight="1">
      <c r="A173" s="66" t="s">
        <v>41</v>
      </c>
      <c r="B173" s="67"/>
      <c r="C173" s="68"/>
      <c r="D173" s="69"/>
      <c r="E173" s="69">
        <f>SUM(E153:E172)</f>
        <v>0</v>
      </c>
      <c r="F173" s="70"/>
      <c r="G173" s="70"/>
      <c r="H173" s="70"/>
      <c r="I173" s="70"/>
      <c r="J173" s="70"/>
      <c r="K173" s="71"/>
      <c r="L173" s="60" t="e">
        <f>CONCATENATE(#REF!,F173)</f>
        <v>#REF!</v>
      </c>
      <c r="M173" s="60" t="str">
        <f t="shared" si="9"/>
        <v/>
      </c>
      <c r="N173" s="61"/>
      <c r="O173" s="61"/>
      <c r="P173" s="61"/>
      <c r="Q173" s="61"/>
      <c r="R173" s="61"/>
      <c r="S173" s="61"/>
      <c r="T173" s="61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</row>
    <row r="174" spans="1:76" s="62" customFormat="1" ht="35.1" customHeight="1">
      <c r="A174" s="87"/>
      <c r="B174" s="82"/>
      <c r="C174" s="80"/>
      <c r="D174" s="59"/>
      <c r="E174" s="59"/>
      <c r="F174" s="80"/>
      <c r="G174" s="80"/>
      <c r="H174" s="43"/>
      <c r="I174" s="43"/>
      <c r="J174" s="43"/>
      <c r="K174" s="16"/>
      <c r="L174" s="60" t="e">
        <f>CONCATENATE(#REF!,F174)</f>
        <v>#REF!</v>
      </c>
      <c r="M174" s="60" t="str">
        <f t="shared" si="9"/>
        <v/>
      </c>
      <c r="N174" s="61" t="str">
        <f t="shared" ref="N174:N193" si="11">IF(D174&gt;=E174,"-","err")</f>
        <v>-</v>
      </c>
      <c r="O174" s="61"/>
      <c r="P174" s="61"/>
      <c r="Q174" s="61"/>
      <c r="R174" s="61"/>
      <c r="S174" s="61"/>
      <c r="T174" s="61"/>
    </row>
    <row r="175" spans="1:76" s="62" customFormat="1" ht="35.1" customHeight="1">
      <c r="A175" s="88"/>
      <c r="B175" s="83"/>
      <c r="C175" s="65"/>
      <c r="D175" s="65"/>
      <c r="E175" s="65"/>
      <c r="F175" s="65"/>
      <c r="G175" s="65"/>
      <c r="H175" s="44"/>
      <c r="I175" s="44">
        <v>0</v>
      </c>
      <c r="J175" s="44">
        <v>0</v>
      </c>
      <c r="K175" s="17"/>
      <c r="L175" s="60" t="e">
        <f>CONCATENATE(#REF!,F175)</f>
        <v>#REF!</v>
      </c>
      <c r="M175" s="60" t="str">
        <f t="shared" si="9"/>
        <v/>
      </c>
      <c r="N175" s="61" t="str">
        <f t="shared" si="11"/>
        <v>-</v>
      </c>
      <c r="O175" s="61"/>
      <c r="P175" s="61"/>
      <c r="Q175" s="61"/>
      <c r="R175" s="61"/>
      <c r="S175" s="61"/>
      <c r="T175" s="61"/>
    </row>
    <row r="176" spans="1:76" s="62" customFormat="1" ht="35.1" customHeight="1">
      <c r="A176" s="88"/>
      <c r="B176" s="86"/>
      <c r="C176" s="65"/>
      <c r="D176" s="65"/>
      <c r="E176" s="65"/>
      <c r="F176" s="65"/>
      <c r="G176" s="65"/>
      <c r="H176" s="44"/>
      <c r="I176" s="44">
        <v>0</v>
      </c>
      <c r="J176" s="44">
        <v>0</v>
      </c>
      <c r="K176" s="17"/>
      <c r="L176" s="60" t="e">
        <f>CONCATENATE(#REF!,F176)</f>
        <v>#REF!</v>
      </c>
      <c r="M176" s="60" t="str">
        <f t="shared" si="9"/>
        <v/>
      </c>
      <c r="N176" s="61" t="str">
        <f t="shared" si="11"/>
        <v>-</v>
      </c>
      <c r="O176" s="61"/>
      <c r="P176" s="61"/>
      <c r="Q176" s="61"/>
      <c r="R176" s="61"/>
      <c r="S176" s="61"/>
      <c r="T176" s="61"/>
    </row>
    <row r="177" spans="1:20" s="62" customFormat="1" ht="35.1" customHeight="1">
      <c r="A177" s="88"/>
      <c r="B177" s="86"/>
      <c r="C177" s="65"/>
      <c r="D177" s="65"/>
      <c r="E177" s="65"/>
      <c r="F177" s="65"/>
      <c r="G177" s="65"/>
      <c r="H177" s="44"/>
      <c r="I177" s="44">
        <v>0</v>
      </c>
      <c r="J177" s="44">
        <v>0</v>
      </c>
      <c r="K177" s="17"/>
      <c r="L177" s="60" t="e">
        <f>CONCATENATE(#REF!,F177)</f>
        <v>#REF!</v>
      </c>
      <c r="M177" s="60" t="str">
        <f t="shared" si="9"/>
        <v/>
      </c>
      <c r="N177" s="61" t="str">
        <f t="shared" si="11"/>
        <v>-</v>
      </c>
      <c r="O177" s="61"/>
      <c r="P177" s="61"/>
      <c r="Q177" s="61"/>
      <c r="R177" s="61"/>
      <c r="S177" s="61"/>
      <c r="T177" s="61"/>
    </row>
    <row r="178" spans="1:20" s="62" customFormat="1" ht="35.1" customHeight="1">
      <c r="A178" s="88"/>
      <c r="B178" s="86"/>
      <c r="C178" s="65"/>
      <c r="D178" s="65"/>
      <c r="E178" s="65"/>
      <c r="F178" s="65"/>
      <c r="G178" s="65"/>
      <c r="H178" s="44"/>
      <c r="I178" s="44">
        <v>0</v>
      </c>
      <c r="J178" s="44">
        <v>0</v>
      </c>
      <c r="K178" s="17"/>
      <c r="L178" s="60" t="e">
        <f>CONCATENATE(#REF!,F178)</f>
        <v>#REF!</v>
      </c>
      <c r="M178" s="60" t="str">
        <f t="shared" si="9"/>
        <v/>
      </c>
      <c r="N178" s="61" t="str">
        <f t="shared" si="11"/>
        <v>-</v>
      </c>
      <c r="O178" s="61"/>
      <c r="P178" s="61"/>
      <c r="Q178" s="61"/>
      <c r="R178" s="61"/>
      <c r="S178" s="61"/>
      <c r="T178" s="61"/>
    </row>
    <row r="179" spans="1:20" s="62" customFormat="1" ht="35.1" customHeight="1">
      <c r="A179" s="63"/>
      <c r="B179" s="83"/>
      <c r="C179" s="65"/>
      <c r="D179" s="65"/>
      <c r="E179" s="65"/>
      <c r="F179" s="65"/>
      <c r="G179" s="65"/>
      <c r="H179" s="44"/>
      <c r="I179" s="44">
        <v>0</v>
      </c>
      <c r="J179" s="44">
        <v>0</v>
      </c>
      <c r="K179" s="17"/>
      <c r="L179" s="60" t="e">
        <f>CONCATENATE(#REF!,F179)</f>
        <v>#REF!</v>
      </c>
      <c r="M179" s="60" t="str">
        <f t="shared" si="9"/>
        <v/>
      </c>
      <c r="N179" s="61" t="str">
        <f t="shared" si="11"/>
        <v>-</v>
      </c>
      <c r="O179" s="61"/>
      <c r="P179" s="61"/>
      <c r="Q179" s="61"/>
      <c r="R179" s="61"/>
      <c r="S179" s="61"/>
      <c r="T179" s="61"/>
    </row>
    <row r="180" spans="1:20" s="62" customFormat="1" ht="35.1" customHeight="1">
      <c r="A180" s="63"/>
      <c r="B180" s="83"/>
      <c r="C180" s="81"/>
      <c r="D180" s="65"/>
      <c r="E180" s="65"/>
      <c r="F180" s="81"/>
      <c r="G180" s="81"/>
      <c r="H180" s="44"/>
      <c r="I180" s="44"/>
      <c r="J180" s="44"/>
      <c r="K180" s="17"/>
      <c r="L180" s="60" t="e">
        <f>CONCATENATE(#REF!,F180)</f>
        <v>#REF!</v>
      </c>
      <c r="M180" s="60" t="str">
        <f t="shared" si="9"/>
        <v/>
      </c>
      <c r="N180" s="61" t="str">
        <f t="shared" si="11"/>
        <v>-</v>
      </c>
      <c r="O180" s="61"/>
      <c r="P180" s="61"/>
      <c r="Q180" s="61"/>
      <c r="R180" s="61"/>
      <c r="S180" s="61"/>
      <c r="T180" s="61"/>
    </row>
    <row r="181" spans="1:20" s="62" customFormat="1" ht="35.1" customHeight="1">
      <c r="A181" s="63"/>
      <c r="B181" s="83"/>
      <c r="C181" s="81"/>
      <c r="D181" s="65"/>
      <c r="E181" s="65"/>
      <c r="F181" s="81"/>
      <c r="G181" s="81"/>
      <c r="H181" s="44"/>
      <c r="I181" s="44">
        <v>0</v>
      </c>
      <c r="J181" s="44">
        <v>0</v>
      </c>
      <c r="K181" s="17"/>
      <c r="L181" s="60" t="e">
        <f>CONCATENATE(#REF!,F181)</f>
        <v>#REF!</v>
      </c>
      <c r="M181" s="60" t="str">
        <f t="shared" si="9"/>
        <v/>
      </c>
      <c r="N181" s="61" t="str">
        <f t="shared" si="11"/>
        <v>-</v>
      </c>
      <c r="O181" s="61"/>
      <c r="P181" s="61"/>
      <c r="Q181" s="61"/>
      <c r="R181" s="61"/>
      <c r="S181" s="61"/>
      <c r="T181" s="61"/>
    </row>
    <row r="182" spans="1:20" s="62" customFormat="1" ht="35.1" customHeight="1">
      <c r="A182" s="63"/>
      <c r="B182" s="83"/>
      <c r="C182" s="81"/>
      <c r="D182" s="65"/>
      <c r="E182" s="65"/>
      <c r="F182" s="81"/>
      <c r="G182" s="81"/>
      <c r="H182" s="44">
        <v>0</v>
      </c>
      <c r="I182" s="44">
        <v>0</v>
      </c>
      <c r="J182" s="44">
        <v>0</v>
      </c>
      <c r="K182" s="17"/>
      <c r="L182" s="60" t="e">
        <f>CONCATENATE(#REF!,F182)</f>
        <v>#REF!</v>
      </c>
      <c r="M182" s="60" t="str">
        <f t="shared" si="9"/>
        <v/>
      </c>
      <c r="N182" s="61" t="str">
        <f t="shared" si="11"/>
        <v>-</v>
      </c>
      <c r="O182" s="61"/>
      <c r="P182" s="61"/>
      <c r="Q182" s="61"/>
      <c r="R182" s="61"/>
      <c r="S182" s="61"/>
      <c r="T182" s="61"/>
    </row>
    <row r="183" spans="1:20" s="62" customFormat="1" ht="35.1" customHeight="1">
      <c r="A183" s="63"/>
      <c r="B183" s="83"/>
      <c r="C183" s="81"/>
      <c r="D183" s="65"/>
      <c r="E183" s="65"/>
      <c r="F183" s="81"/>
      <c r="G183" s="81"/>
      <c r="H183" s="44">
        <v>0</v>
      </c>
      <c r="I183" s="44">
        <v>0</v>
      </c>
      <c r="J183" s="44">
        <v>0</v>
      </c>
      <c r="K183" s="17"/>
      <c r="L183" s="60" t="e">
        <f>CONCATENATE(#REF!,F183)</f>
        <v>#REF!</v>
      </c>
      <c r="M183" s="60" t="str">
        <f t="shared" si="9"/>
        <v/>
      </c>
      <c r="N183" s="61" t="str">
        <f t="shared" si="11"/>
        <v>-</v>
      </c>
      <c r="O183" s="61"/>
      <c r="P183" s="61"/>
      <c r="Q183" s="61"/>
      <c r="R183" s="61"/>
      <c r="S183" s="61"/>
      <c r="T183" s="61"/>
    </row>
    <row r="184" spans="1:20" s="62" customFormat="1" ht="35.1" customHeight="1">
      <c r="A184" s="63"/>
      <c r="B184" s="83"/>
      <c r="C184" s="81"/>
      <c r="D184" s="65"/>
      <c r="E184" s="65"/>
      <c r="F184" s="81"/>
      <c r="G184" s="81"/>
      <c r="H184" s="44">
        <v>0</v>
      </c>
      <c r="I184" s="44">
        <v>0</v>
      </c>
      <c r="J184" s="44">
        <v>0</v>
      </c>
      <c r="K184" s="17"/>
      <c r="L184" s="60" t="e">
        <f>CONCATENATE(#REF!,F184)</f>
        <v>#REF!</v>
      </c>
      <c r="M184" s="60" t="str">
        <f t="shared" si="9"/>
        <v/>
      </c>
      <c r="N184" s="61" t="str">
        <f t="shared" si="11"/>
        <v>-</v>
      </c>
      <c r="O184" s="61"/>
      <c r="P184" s="61"/>
      <c r="Q184" s="61"/>
      <c r="R184" s="61"/>
      <c r="S184" s="61"/>
      <c r="T184" s="61"/>
    </row>
    <row r="185" spans="1:20" s="62" customFormat="1" ht="35.1" customHeight="1">
      <c r="A185" s="63"/>
      <c r="B185" s="64"/>
      <c r="C185" s="65"/>
      <c r="D185" s="65"/>
      <c r="E185" s="65"/>
      <c r="F185" s="65"/>
      <c r="G185" s="65"/>
      <c r="H185" s="44"/>
      <c r="I185" s="44"/>
      <c r="J185" s="44"/>
      <c r="K185" s="17"/>
      <c r="L185" s="60" t="e">
        <f>CONCATENATE(#REF!,F185)</f>
        <v>#REF!</v>
      </c>
      <c r="M185" s="60" t="str">
        <f t="shared" si="9"/>
        <v/>
      </c>
      <c r="N185" s="61" t="str">
        <f t="shared" si="11"/>
        <v>-</v>
      </c>
      <c r="O185" s="61"/>
      <c r="P185" s="61"/>
      <c r="Q185" s="61"/>
      <c r="R185" s="61"/>
      <c r="S185" s="61"/>
      <c r="T185" s="61"/>
    </row>
    <row r="186" spans="1:20" s="62" customFormat="1" ht="35.1" customHeight="1">
      <c r="A186" s="63"/>
      <c r="B186" s="64"/>
      <c r="C186" s="65"/>
      <c r="D186" s="65"/>
      <c r="E186" s="65"/>
      <c r="F186" s="65"/>
      <c r="G186" s="65"/>
      <c r="H186" s="44"/>
      <c r="I186" s="44"/>
      <c r="J186" s="44"/>
      <c r="K186" s="17"/>
      <c r="L186" s="60" t="e">
        <f>CONCATENATE(#REF!,F186)</f>
        <v>#REF!</v>
      </c>
      <c r="M186" s="60" t="str">
        <f t="shared" si="9"/>
        <v/>
      </c>
      <c r="N186" s="61" t="str">
        <f t="shared" si="11"/>
        <v>-</v>
      </c>
      <c r="O186" s="61"/>
      <c r="P186" s="61"/>
      <c r="Q186" s="61"/>
      <c r="R186" s="61"/>
      <c r="S186" s="61"/>
      <c r="T186" s="61"/>
    </row>
    <row r="187" spans="1:20" s="62" customFormat="1" ht="35.1" customHeight="1">
      <c r="A187" s="63"/>
      <c r="B187" s="64"/>
      <c r="C187" s="65"/>
      <c r="D187" s="65"/>
      <c r="E187" s="65"/>
      <c r="F187" s="65"/>
      <c r="G187" s="65"/>
      <c r="H187" s="44"/>
      <c r="I187" s="44"/>
      <c r="J187" s="44"/>
      <c r="K187" s="17"/>
      <c r="L187" s="60" t="e">
        <f>CONCATENATE(#REF!,F187)</f>
        <v>#REF!</v>
      </c>
      <c r="M187" s="60" t="str">
        <f t="shared" si="9"/>
        <v/>
      </c>
      <c r="N187" s="61" t="str">
        <f t="shared" si="11"/>
        <v>-</v>
      </c>
      <c r="O187" s="61"/>
      <c r="P187" s="61"/>
      <c r="Q187" s="61"/>
      <c r="R187" s="61"/>
      <c r="S187" s="61"/>
      <c r="T187" s="61"/>
    </row>
    <row r="188" spans="1:20" s="62" customFormat="1" ht="35.1" customHeight="1">
      <c r="A188" s="63"/>
      <c r="B188" s="64"/>
      <c r="C188" s="65"/>
      <c r="D188" s="65"/>
      <c r="E188" s="65"/>
      <c r="F188" s="65"/>
      <c r="G188" s="65"/>
      <c r="H188" s="44"/>
      <c r="I188" s="44"/>
      <c r="J188" s="44"/>
      <c r="K188" s="17"/>
      <c r="L188" s="60" t="e">
        <f>CONCATENATE(#REF!,F188)</f>
        <v>#REF!</v>
      </c>
      <c r="M188" s="60" t="str">
        <f t="shared" si="9"/>
        <v/>
      </c>
      <c r="N188" s="61" t="str">
        <f t="shared" si="11"/>
        <v>-</v>
      </c>
      <c r="O188" s="61"/>
      <c r="P188" s="61"/>
      <c r="Q188" s="61"/>
      <c r="R188" s="61"/>
      <c r="S188" s="61"/>
      <c r="T188" s="61"/>
    </row>
    <row r="189" spans="1:20" s="62" customFormat="1" ht="35.1" customHeight="1">
      <c r="A189" s="63"/>
      <c r="B189" s="64"/>
      <c r="C189" s="65"/>
      <c r="D189" s="65"/>
      <c r="E189" s="65"/>
      <c r="F189" s="65"/>
      <c r="G189" s="65"/>
      <c r="H189" s="44"/>
      <c r="I189" s="44"/>
      <c r="J189" s="44"/>
      <c r="K189" s="17"/>
      <c r="L189" s="60" t="e">
        <f>CONCATENATE(#REF!,F189)</f>
        <v>#REF!</v>
      </c>
      <c r="M189" s="60" t="str">
        <f t="shared" si="9"/>
        <v/>
      </c>
      <c r="N189" s="61" t="str">
        <f t="shared" si="11"/>
        <v>-</v>
      </c>
      <c r="O189" s="61"/>
      <c r="P189" s="61"/>
      <c r="Q189" s="61"/>
      <c r="R189" s="61"/>
      <c r="S189" s="61"/>
      <c r="T189" s="61"/>
    </row>
    <row r="190" spans="1:20" s="62" customFormat="1" ht="35.1" customHeight="1">
      <c r="A190" s="63"/>
      <c r="B190" s="64"/>
      <c r="C190" s="65"/>
      <c r="D190" s="65"/>
      <c r="E190" s="65"/>
      <c r="F190" s="65"/>
      <c r="G190" s="65"/>
      <c r="H190" s="44"/>
      <c r="I190" s="44"/>
      <c r="J190" s="44"/>
      <c r="K190" s="17"/>
      <c r="L190" s="60" t="e">
        <f>CONCATENATE(#REF!,F190)</f>
        <v>#REF!</v>
      </c>
      <c r="M190" s="60" t="str">
        <f t="shared" si="9"/>
        <v/>
      </c>
      <c r="N190" s="61" t="str">
        <f t="shared" si="11"/>
        <v>-</v>
      </c>
      <c r="O190" s="61"/>
      <c r="P190" s="61"/>
      <c r="Q190" s="61"/>
      <c r="R190" s="61"/>
      <c r="S190" s="61"/>
      <c r="T190" s="61"/>
    </row>
    <row r="191" spans="1:20" s="62" customFormat="1" ht="35.1" customHeight="1">
      <c r="A191" s="63"/>
      <c r="B191" s="64"/>
      <c r="C191" s="65"/>
      <c r="D191" s="65"/>
      <c r="E191" s="65"/>
      <c r="F191" s="65"/>
      <c r="G191" s="65"/>
      <c r="H191" s="44"/>
      <c r="I191" s="44"/>
      <c r="J191" s="44"/>
      <c r="K191" s="17"/>
      <c r="L191" s="60" t="e">
        <f>CONCATENATE(#REF!,F191)</f>
        <v>#REF!</v>
      </c>
      <c r="M191" s="60" t="str">
        <f t="shared" si="9"/>
        <v/>
      </c>
      <c r="N191" s="61" t="str">
        <f t="shared" si="11"/>
        <v>-</v>
      </c>
      <c r="O191" s="61"/>
      <c r="P191" s="61"/>
      <c r="Q191" s="61"/>
      <c r="R191" s="61"/>
      <c r="S191" s="61"/>
      <c r="T191" s="61"/>
    </row>
    <row r="192" spans="1:20" s="62" customFormat="1" ht="35.1" customHeight="1">
      <c r="A192" s="63"/>
      <c r="B192" s="64"/>
      <c r="C192" s="65"/>
      <c r="D192" s="65"/>
      <c r="E192" s="65"/>
      <c r="F192" s="65"/>
      <c r="G192" s="65"/>
      <c r="H192" s="44"/>
      <c r="I192" s="44"/>
      <c r="J192" s="44"/>
      <c r="K192" s="17"/>
      <c r="L192" s="60" t="e">
        <f>CONCATENATE(#REF!,F192)</f>
        <v>#REF!</v>
      </c>
      <c r="M192" s="60" t="str">
        <f t="shared" si="9"/>
        <v/>
      </c>
      <c r="N192" s="61" t="str">
        <f t="shared" si="11"/>
        <v>-</v>
      </c>
      <c r="O192" s="61"/>
      <c r="P192" s="61"/>
      <c r="Q192" s="61"/>
      <c r="R192" s="61"/>
      <c r="S192" s="61"/>
      <c r="T192" s="61"/>
    </row>
    <row r="193" spans="1:76" s="62" customFormat="1" ht="35.1" customHeight="1">
      <c r="A193" s="77"/>
      <c r="B193" s="78"/>
      <c r="C193" s="79"/>
      <c r="D193" s="79"/>
      <c r="E193" s="79"/>
      <c r="F193" s="79"/>
      <c r="G193" s="79"/>
      <c r="H193" s="90"/>
      <c r="I193" s="90"/>
      <c r="J193" s="90"/>
      <c r="K193" s="91"/>
      <c r="L193" s="60" t="e">
        <f>CONCATENATE(#REF!,F193)</f>
        <v>#REF!</v>
      </c>
      <c r="M193" s="60" t="str">
        <f t="shared" si="9"/>
        <v/>
      </c>
      <c r="N193" s="61" t="str">
        <f t="shared" si="11"/>
        <v>-</v>
      </c>
      <c r="O193" s="61"/>
      <c r="P193" s="61"/>
      <c r="Q193" s="61"/>
      <c r="R193" s="61"/>
      <c r="S193" s="61"/>
      <c r="T193" s="61"/>
    </row>
    <row r="194" spans="1:76" s="73" customFormat="1" ht="35.1" customHeight="1">
      <c r="A194" s="66" t="s">
        <v>41</v>
      </c>
      <c r="B194" s="67"/>
      <c r="C194" s="68"/>
      <c r="D194" s="69"/>
      <c r="E194" s="69">
        <f>SUM(E174:E193)</f>
        <v>0</v>
      </c>
      <c r="F194" s="70"/>
      <c r="G194" s="70"/>
      <c r="H194" s="70"/>
      <c r="I194" s="70"/>
      <c r="J194" s="70"/>
      <c r="K194" s="71"/>
      <c r="L194" s="60" t="e">
        <f>CONCATENATE(#REF!,F194)</f>
        <v>#REF!</v>
      </c>
      <c r="M194" s="60" t="str">
        <f t="shared" si="9"/>
        <v/>
      </c>
      <c r="N194" s="61"/>
      <c r="O194" s="61"/>
      <c r="P194" s="61"/>
      <c r="Q194" s="61"/>
      <c r="R194" s="61"/>
      <c r="S194" s="61"/>
      <c r="T194" s="61"/>
      <c r="U194" s="72"/>
      <c r="V194" s="72"/>
      <c r="W194" s="72"/>
      <c r="X194" s="72"/>
      <c r="Y194" s="72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</row>
    <row r="195" spans="1:76" s="62" customFormat="1" ht="35.1" customHeight="1">
      <c r="A195" s="87"/>
      <c r="B195" s="82"/>
      <c r="C195" s="80"/>
      <c r="D195" s="59"/>
      <c r="E195" s="59"/>
      <c r="F195" s="80"/>
      <c r="G195" s="80"/>
      <c r="H195" s="43"/>
      <c r="I195" s="43"/>
      <c r="J195" s="43"/>
      <c r="K195" s="16"/>
      <c r="L195" s="60" t="e">
        <f>CONCATENATE(#REF!,F195)</f>
        <v>#REF!</v>
      </c>
      <c r="M195" s="60" t="str">
        <f t="shared" si="9"/>
        <v/>
      </c>
      <c r="N195" s="61" t="str">
        <f t="shared" ref="N195:N214" si="12">IF(D195&gt;=E195,"-","err")</f>
        <v>-</v>
      </c>
      <c r="O195" s="61"/>
      <c r="P195" s="61"/>
      <c r="Q195" s="61"/>
      <c r="R195" s="61"/>
      <c r="S195" s="61"/>
      <c r="T195" s="61"/>
    </row>
    <row r="196" spans="1:76" s="62" customFormat="1" ht="35.1" customHeight="1">
      <c r="A196" s="88"/>
      <c r="B196" s="83"/>
      <c r="C196" s="65"/>
      <c r="D196" s="65"/>
      <c r="E196" s="65"/>
      <c r="F196" s="65"/>
      <c r="G196" s="65"/>
      <c r="H196" s="44"/>
      <c r="I196" s="44">
        <v>0</v>
      </c>
      <c r="J196" s="44">
        <v>0</v>
      </c>
      <c r="K196" s="17"/>
      <c r="L196" s="60" t="e">
        <f>CONCATENATE(#REF!,F196)</f>
        <v>#REF!</v>
      </c>
      <c r="M196" s="60" t="str">
        <f t="shared" si="9"/>
        <v/>
      </c>
      <c r="N196" s="61" t="str">
        <f t="shared" si="12"/>
        <v>-</v>
      </c>
      <c r="O196" s="61"/>
      <c r="P196" s="61"/>
      <c r="Q196" s="61"/>
      <c r="R196" s="61"/>
      <c r="S196" s="61"/>
      <c r="T196" s="61"/>
    </row>
    <row r="197" spans="1:76" s="62" customFormat="1" ht="35.1" customHeight="1">
      <c r="A197" s="88"/>
      <c r="B197" s="86"/>
      <c r="C197" s="65"/>
      <c r="D197" s="65"/>
      <c r="E197" s="65"/>
      <c r="F197" s="65"/>
      <c r="G197" s="65"/>
      <c r="H197" s="44"/>
      <c r="I197" s="44">
        <v>0</v>
      </c>
      <c r="J197" s="44">
        <v>0</v>
      </c>
      <c r="K197" s="17"/>
      <c r="L197" s="60" t="e">
        <f>CONCATENATE(#REF!,F197)</f>
        <v>#REF!</v>
      </c>
      <c r="M197" s="60" t="str">
        <f t="shared" si="9"/>
        <v/>
      </c>
      <c r="N197" s="61" t="str">
        <f t="shared" si="12"/>
        <v>-</v>
      </c>
      <c r="O197" s="61"/>
      <c r="P197" s="61"/>
      <c r="Q197" s="61"/>
      <c r="R197" s="61"/>
      <c r="S197" s="61"/>
      <c r="T197" s="61"/>
    </row>
    <row r="198" spans="1:76" s="62" customFormat="1" ht="35.1" customHeight="1">
      <c r="A198" s="88"/>
      <c r="B198" s="86"/>
      <c r="C198" s="65"/>
      <c r="D198" s="65"/>
      <c r="E198" s="65"/>
      <c r="F198" s="65"/>
      <c r="G198" s="65"/>
      <c r="H198" s="44"/>
      <c r="I198" s="44">
        <v>0</v>
      </c>
      <c r="J198" s="44">
        <v>0</v>
      </c>
      <c r="K198" s="17"/>
      <c r="L198" s="60" t="e">
        <f>CONCATENATE(#REF!,F198)</f>
        <v>#REF!</v>
      </c>
      <c r="M198" s="60" t="str">
        <f t="shared" ref="M198:M257" si="13">CONCATENATE(C198,F198)</f>
        <v/>
      </c>
      <c r="N198" s="61" t="str">
        <f t="shared" si="12"/>
        <v>-</v>
      </c>
      <c r="O198" s="61"/>
      <c r="P198" s="61"/>
      <c r="Q198" s="61"/>
      <c r="R198" s="61"/>
      <c r="S198" s="61"/>
      <c r="T198" s="61"/>
    </row>
    <row r="199" spans="1:76" s="62" customFormat="1" ht="35.1" customHeight="1">
      <c r="A199" s="88"/>
      <c r="B199" s="86"/>
      <c r="C199" s="65"/>
      <c r="D199" s="65"/>
      <c r="E199" s="65"/>
      <c r="F199" s="65"/>
      <c r="G199" s="65"/>
      <c r="H199" s="44"/>
      <c r="I199" s="44">
        <v>0</v>
      </c>
      <c r="J199" s="44">
        <v>0</v>
      </c>
      <c r="K199" s="17"/>
      <c r="L199" s="60" t="e">
        <f>CONCATENATE(#REF!,F199)</f>
        <v>#REF!</v>
      </c>
      <c r="M199" s="60" t="str">
        <f t="shared" si="13"/>
        <v/>
      </c>
      <c r="N199" s="61" t="str">
        <f t="shared" si="12"/>
        <v>-</v>
      </c>
      <c r="O199" s="61"/>
      <c r="P199" s="61"/>
      <c r="Q199" s="61"/>
      <c r="R199" s="61"/>
      <c r="S199" s="61"/>
      <c r="T199" s="61"/>
    </row>
    <row r="200" spans="1:76" s="62" customFormat="1" ht="35.1" customHeight="1">
      <c r="A200" s="63"/>
      <c r="B200" s="83"/>
      <c r="C200" s="65"/>
      <c r="D200" s="65"/>
      <c r="E200" s="65"/>
      <c r="F200" s="65"/>
      <c r="G200" s="65"/>
      <c r="H200" s="44"/>
      <c r="I200" s="44">
        <v>0</v>
      </c>
      <c r="J200" s="44">
        <v>0</v>
      </c>
      <c r="K200" s="17"/>
      <c r="L200" s="60" t="e">
        <f>CONCATENATE(#REF!,F200)</f>
        <v>#REF!</v>
      </c>
      <c r="M200" s="60" t="str">
        <f t="shared" si="13"/>
        <v/>
      </c>
      <c r="N200" s="61" t="str">
        <f t="shared" si="12"/>
        <v>-</v>
      </c>
      <c r="O200" s="61"/>
      <c r="P200" s="61"/>
      <c r="Q200" s="61"/>
      <c r="R200" s="61"/>
      <c r="S200" s="61"/>
      <c r="T200" s="61"/>
    </row>
    <row r="201" spans="1:76" s="62" customFormat="1" ht="35.1" customHeight="1">
      <c r="A201" s="63"/>
      <c r="B201" s="83"/>
      <c r="C201" s="81"/>
      <c r="D201" s="65"/>
      <c r="E201" s="65"/>
      <c r="F201" s="81"/>
      <c r="G201" s="81"/>
      <c r="H201" s="44"/>
      <c r="I201" s="44"/>
      <c r="J201" s="44"/>
      <c r="K201" s="17"/>
      <c r="L201" s="60" t="e">
        <f>CONCATENATE(#REF!,F201)</f>
        <v>#REF!</v>
      </c>
      <c r="M201" s="60" t="str">
        <f t="shared" si="13"/>
        <v/>
      </c>
      <c r="N201" s="61" t="str">
        <f t="shared" si="12"/>
        <v>-</v>
      </c>
      <c r="O201" s="61"/>
      <c r="P201" s="61"/>
      <c r="Q201" s="61"/>
      <c r="R201" s="61"/>
      <c r="S201" s="61"/>
      <c r="T201" s="61"/>
    </row>
    <row r="202" spans="1:76" s="62" customFormat="1" ht="35.1" customHeight="1">
      <c r="A202" s="63"/>
      <c r="B202" s="83"/>
      <c r="C202" s="81"/>
      <c r="D202" s="65"/>
      <c r="E202" s="65"/>
      <c r="F202" s="81"/>
      <c r="G202" s="81"/>
      <c r="H202" s="44"/>
      <c r="I202" s="44">
        <v>0</v>
      </c>
      <c r="J202" s="44">
        <v>0</v>
      </c>
      <c r="K202" s="17"/>
      <c r="L202" s="60" t="e">
        <f>CONCATENATE(#REF!,F202)</f>
        <v>#REF!</v>
      </c>
      <c r="M202" s="60" t="str">
        <f t="shared" si="13"/>
        <v/>
      </c>
      <c r="N202" s="61" t="str">
        <f t="shared" si="12"/>
        <v>-</v>
      </c>
      <c r="O202" s="61"/>
      <c r="P202" s="61"/>
      <c r="Q202" s="61"/>
      <c r="R202" s="61"/>
      <c r="S202" s="61"/>
      <c r="T202" s="61"/>
    </row>
    <row r="203" spans="1:76" s="62" customFormat="1" ht="35.1" customHeight="1">
      <c r="A203" s="63"/>
      <c r="B203" s="83"/>
      <c r="C203" s="81"/>
      <c r="D203" s="65"/>
      <c r="E203" s="65"/>
      <c r="F203" s="81"/>
      <c r="G203" s="81"/>
      <c r="H203" s="44">
        <v>0</v>
      </c>
      <c r="I203" s="44">
        <v>0</v>
      </c>
      <c r="J203" s="44">
        <v>0</v>
      </c>
      <c r="K203" s="17"/>
      <c r="L203" s="60" t="e">
        <f>CONCATENATE(#REF!,F203)</f>
        <v>#REF!</v>
      </c>
      <c r="M203" s="60" t="str">
        <f t="shared" si="13"/>
        <v/>
      </c>
      <c r="N203" s="61" t="str">
        <f t="shared" si="12"/>
        <v>-</v>
      </c>
      <c r="O203" s="61"/>
      <c r="P203" s="61"/>
      <c r="Q203" s="61"/>
      <c r="R203" s="61"/>
      <c r="S203" s="61"/>
      <c r="T203" s="61"/>
    </row>
    <row r="204" spans="1:76" s="62" customFormat="1" ht="35.1" customHeight="1">
      <c r="A204" s="63"/>
      <c r="B204" s="83"/>
      <c r="C204" s="81"/>
      <c r="D204" s="65"/>
      <c r="E204" s="65"/>
      <c r="F204" s="81"/>
      <c r="G204" s="81"/>
      <c r="H204" s="44">
        <v>0</v>
      </c>
      <c r="I204" s="44">
        <v>0</v>
      </c>
      <c r="J204" s="44">
        <v>0</v>
      </c>
      <c r="K204" s="17"/>
      <c r="L204" s="60" t="e">
        <f>CONCATENATE(#REF!,F204)</f>
        <v>#REF!</v>
      </c>
      <c r="M204" s="60" t="str">
        <f t="shared" si="13"/>
        <v/>
      </c>
      <c r="N204" s="61" t="str">
        <f t="shared" si="12"/>
        <v>-</v>
      </c>
      <c r="O204" s="61"/>
      <c r="P204" s="61"/>
      <c r="Q204" s="61"/>
      <c r="R204" s="61"/>
      <c r="S204" s="61"/>
      <c r="T204" s="61"/>
    </row>
    <row r="205" spans="1:76" s="62" customFormat="1" ht="35.1" customHeight="1">
      <c r="A205" s="63"/>
      <c r="B205" s="83"/>
      <c r="C205" s="81"/>
      <c r="D205" s="65"/>
      <c r="E205" s="65"/>
      <c r="F205" s="81"/>
      <c r="G205" s="81"/>
      <c r="H205" s="44">
        <v>0</v>
      </c>
      <c r="I205" s="44">
        <v>0</v>
      </c>
      <c r="J205" s="44">
        <v>0</v>
      </c>
      <c r="K205" s="17"/>
      <c r="L205" s="60" t="e">
        <f>CONCATENATE(#REF!,F205)</f>
        <v>#REF!</v>
      </c>
      <c r="M205" s="60" t="str">
        <f t="shared" si="13"/>
        <v/>
      </c>
      <c r="N205" s="61" t="str">
        <f t="shared" si="12"/>
        <v>-</v>
      </c>
      <c r="O205" s="61"/>
      <c r="P205" s="61"/>
      <c r="Q205" s="61"/>
      <c r="R205" s="61"/>
      <c r="S205" s="61"/>
      <c r="T205" s="61"/>
    </row>
    <row r="206" spans="1:76" s="62" customFormat="1" ht="35.1" customHeight="1">
      <c r="A206" s="63"/>
      <c r="B206" s="64"/>
      <c r="C206" s="65"/>
      <c r="D206" s="65"/>
      <c r="E206" s="65"/>
      <c r="F206" s="65"/>
      <c r="G206" s="65"/>
      <c r="H206" s="44"/>
      <c r="I206" s="44"/>
      <c r="J206" s="44"/>
      <c r="K206" s="17"/>
      <c r="L206" s="60" t="e">
        <f>CONCATENATE(#REF!,F206)</f>
        <v>#REF!</v>
      </c>
      <c r="M206" s="60" t="str">
        <f t="shared" si="13"/>
        <v/>
      </c>
      <c r="N206" s="61" t="str">
        <f t="shared" si="12"/>
        <v>-</v>
      </c>
      <c r="O206" s="61"/>
      <c r="P206" s="61"/>
      <c r="Q206" s="61"/>
      <c r="R206" s="61"/>
      <c r="S206" s="61"/>
      <c r="T206" s="61"/>
    </row>
    <row r="207" spans="1:76" s="62" customFormat="1" ht="35.1" customHeight="1">
      <c r="A207" s="63"/>
      <c r="B207" s="64"/>
      <c r="C207" s="65"/>
      <c r="D207" s="65"/>
      <c r="E207" s="65"/>
      <c r="F207" s="65"/>
      <c r="G207" s="65"/>
      <c r="H207" s="44"/>
      <c r="I207" s="44"/>
      <c r="J207" s="44"/>
      <c r="K207" s="17"/>
      <c r="L207" s="60" t="e">
        <f>CONCATENATE(#REF!,F207)</f>
        <v>#REF!</v>
      </c>
      <c r="M207" s="60" t="str">
        <f t="shared" si="13"/>
        <v/>
      </c>
      <c r="N207" s="61" t="str">
        <f t="shared" si="12"/>
        <v>-</v>
      </c>
      <c r="O207" s="61"/>
      <c r="P207" s="61"/>
      <c r="Q207" s="61"/>
      <c r="R207" s="61"/>
      <c r="S207" s="61"/>
      <c r="T207" s="61"/>
    </row>
    <row r="208" spans="1:76" s="62" customFormat="1" ht="35.1" customHeight="1">
      <c r="A208" s="63"/>
      <c r="B208" s="64"/>
      <c r="C208" s="65"/>
      <c r="D208" s="65"/>
      <c r="E208" s="65"/>
      <c r="F208" s="65"/>
      <c r="G208" s="65"/>
      <c r="H208" s="44"/>
      <c r="I208" s="44"/>
      <c r="J208" s="44"/>
      <c r="K208" s="17"/>
      <c r="L208" s="60" t="e">
        <f>CONCATENATE(#REF!,F208)</f>
        <v>#REF!</v>
      </c>
      <c r="M208" s="60" t="str">
        <f t="shared" si="13"/>
        <v/>
      </c>
      <c r="N208" s="61" t="str">
        <f t="shared" si="12"/>
        <v>-</v>
      </c>
      <c r="O208" s="61"/>
      <c r="P208" s="61"/>
      <c r="Q208" s="61"/>
      <c r="R208" s="61"/>
      <c r="S208" s="61"/>
      <c r="T208" s="61"/>
    </row>
    <row r="209" spans="1:76" s="62" customFormat="1" ht="35.1" customHeight="1">
      <c r="A209" s="63"/>
      <c r="B209" s="64"/>
      <c r="C209" s="65"/>
      <c r="D209" s="65"/>
      <c r="E209" s="65"/>
      <c r="F209" s="65"/>
      <c r="G209" s="65"/>
      <c r="H209" s="44"/>
      <c r="I209" s="44"/>
      <c r="J209" s="44"/>
      <c r="K209" s="17"/>
      <c r="L209" s="60" t="e">
        <f>CONCATENATE(#REF!,F209)</f>
        <v>#REF!</v>
      </c>
      <c r="M209" s="60" t="str">
        <f t="shared" si="13"/>
        <v/>
      </c>
      <c r="N209" s="61" t="str">
        <f t="shared" si="12"/>
        <v>-</v>
      </c>
      <c r="O209" s="61"/>
      <c r="P209" s="61"/>
      <c r="Q209" s="61"/>
      <c r="R209" s="61"/>
      <c r="S209" s="61"/>
      <c r="T209" s="61"/>
    </row>
    <row r="210" spans="1:76" s="62" customFormat="1" ht="35.1" customHeight="1">
      <c r="A210" s="63"/>
      <c r="B210" s="64"/>
      <c r="C210" s="65"/>
      <c r="D210" s="65"/>
      <c r="E210" s="65"/>
      <c r="F210" s="65"/>
      <c r="G210" s="65"/>
      <c r="H210" s="44"/>
      <c r="I210" s="44"/>
      <c r="J210" s="44"/>
      <c r="K210" s="17"/>
      <c r="L210" s="60" t="e">
        <f>CONCATENATE(#REF!,F210)</f>
        <v>#REF!</v>
      </c>
      <c r="M210" s="60" t="str">
        <f t="shared" si="13"/>
        <v/>
      </c>
      <c r="N210" s="61" t="str">
        <f t="shared" si="12"/>
        <v>-</v>
      </c>
      <c r="O210" s="61"/>
      <c r="P210" s="61"/>
      <c r="Q210" s="61"/>
      <c r="R210" s="61"/>
      <c r="S210" s="61"/>
      <c r="T210" s="61"/>
    </row>
    <row r="211" spans="1:76" s="62" customFormat="1" ht="35.1" customHeight="1">
      <c r="A211" s="63"/>
      <c r="B211" s="64"/>
      <c r="C211" s="65"/>
      <c r="D211" s="65"/>
      <c r="E211" s="65"/>
      <c r="F211" s="65"/>
      <c r="G211" s="65"/>
      <c r="H211" s="44"/>
      <c r="I211" s="44"/>
      <c r="J211" s="44"/>
      <c r="K211" s="17"/>
      <c r="L211" s="60" t="e">
        <f>CONCATENATE(#REF!,F211)</f>
        <v>#REF!</v>
      </c>
      <c r="M211" s="60" t="str">
        <f t="shared" si="13"/>
        <v/>
      </c>
      <c r="N211" s="61" t="str">
        <f t="shared" si="12"/>
        <v>-</v>
      </c>
      <c r="O211" s="61"/>
      <c r="P211" s="61"/>
      <c r="Q211" s="61"/>
      <c r="R211" s="61"/>
      <c r="S211" s="61"/>
      <c r="T211" s="61"/>
    </row>
    <row r="212" spans="1:76" s="62" customFormat="1" ht="35.1" customHeight="1">
      <c r="A212" s="63"/>
      <c r="B212" s="64"/>
      <c r="C212" s="65"/>
      <c r="D212" s="65"/>
      <c r="E212" s="65"/>
      <c r="F212" s="65"/>
      <c r="G212" s="65"/>
      <c r="H212" s="44"/>
      <c r="I212" s="44"/>
      <c r="J212" s="44"/>
      <c r="K212" s="17"/>
      <c r="L212" s="60" t="e">
        <f>CONCATENATE(#REF!,F212)</f>
        <v>#REF!</v>
      </c>
      <c r="M212" s="60" t="str">
        <f t="shared" si="13"/>
        <v/>
      </c>
      <c r="N212" s="61" t="str">
        <f t="shared" si="12"/>
        <v>-</v>
      </c>
      <c r="O212" s="61"/>
      <c r="P212" s="61"/>
      <c r="Q212" s="61"/>
      <c r="R212" s="61"/>
      <c r="S212" s="61"/>
      <c r="T212" s="61"/>
    </row>
    <row r="213" spans="1:76" s="62" customFormat="1" ht="35.1" customHeight="1">
      <c r="A213" s="63"/>
      <c r="B213" s="64"/>
      <c r="C213" s="65"/>
      <c r="D213" s="65"/>
      <c r="E213" s="65"/>
      <c r="F213" s="65"/>
      <c r="G213" s="65"/>
      <c r="H213" s="44"/>
      <c r="I213" s="44"/>
      <c r="J213" s="44"/>
      <c r="K213" s="17"/>
      <c r="L213" s="60" t="e">
        <f>CONCATENATE(#REF!,F213)</f>
        <v>#REF!</v>
      </c>
      <c r="M213" s="60" t="str">
        <f t="shared" si="13"/>
        <v/>
      </c>
      <c r="N213" s="61" t="str">
        <f t="shared" si="12"/>
        <v>-</v>
      </c>
      <c r="O213" s="61"/>
      <c r="P213" s="61"/>
      <c r="Q213" s="61"/>
      <c r="R213" s="61"/>
      <c r="S213" s="61"/>
      <c r="T213" s="61"/>
    </row>
    <row r="214" spans="1:76" s="62" customFormat="1" ht="35.1" customHeight="1">
      <c r="A214" s="77"/>
      <c r="B214" s="78"/>
      <c r="C214" s="79"/>
      <c r="D214" s="79"/>
      <c r="E214" s="79"/>
      <c r="F214" s="79"/>
      <c r="G214" s="79"/>
      <c r="H214" s="90"/>
      <c r="I214" s="90"/>
      <c r="J214" s="90"/>
      <c r="K214" s="91"/>
      <c r="L214" s="60" t="e">
        <f>CONCATENATE(#REF!,F214)</f>
        <v>#REF!</v>
      </c>
      <c r="M214" s="60" t="str">
        <f t="shared" si="13"/>
        <v/>
      </c>
      <c r="N214" s="61" t="str">
        <f t="shared" si="12"/>
        <v>-</v>
      </c>
      <c r="O214" s="61"/>
      <c r="P214" s="61"/>
      <c r="Q214" s="61"/>
      <c r="R214" s="61"/>
      <c r="S214" s="61"/>
      <c r="T214" s="61"/>
    </row>
    <row r="215" spans="1:76" s="73" customFormat="1" ht="35.1" customHeight="1">
      <c r="A215" s="66" t="s">
        <v>41</v>
      </c>
      <c r="B215" s="67"/>
      <c r="C215" s="68"/>
      <c r="D215" s="69"/>
      <c r="E215" s="69">
        <f>SUM(E195:E214)</f>
        <v>0</v>
      </c>
      <c r="F215" s="70"/>
      <c r="G215" s="70"/>
      <c r="H215" s="70"/>
      <c r="I215" s="70"/>
      <c r="J215" s="70"/>
      <c r="K215" s="71"/>
      <c r="L215" s="60" t="e">
        <f>CONCATENATE(#REF!,F215)</f>
        <v>#REF!</v>
      </c>
      <c r="M215" s="60" t="str">
        <f t="shared" si="13"/>
        <v/>
      </c>
      <c r="N215" s="61"/>
      <c r="O215" s="61"/>
      <c r="P215" s="61"/>
      <c r="Q215" s="61"/>
      <c r="R215" s="61"/>
      <c r="S215" s="61"/>
      <c r="T215" s="61"/>
      <c r="U215" s="72"/>
      <c r="V215" s="72"/>
      <c r="W215" s="72"/>
      <c r="X215" s="72"/>
      <c r="Y215" s="72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72"/>
      <c r="AT215" s="72"/>
      <c r="AU215" s="72"/>
      <c r="AV215" s="72"/>
      <c r="AW215" s="72"/>
      <c r="AX215" s="72"/>
      <c r="AY215" s="72"/>
      <c r="AZ215" s="72"/>
      <c r="BA215" s="72"/>
      <c r="BB215" s="72"/>
      <c r="BC215" s="72"/>
      <c r="BD215" s="72"/>
      <c r="BE215" s="72"/>
      <c r="BF215" s="72"/>
      <c r="BG215" s="72"/>
      <c r="BH215" s="72"/>
      <c r="BI215" s="72"/>
      <c r="BJ215" s="72"/>
      <c r="BK215" s="72"/>
      <c r="BL215" s="72"/>
      <c r="BM215" s="72"/>
      <c r="BN215" s="72"/>
      <c r="BO215" s="72"/>
      <c r="BP215" s="72"/>
      <c r="BQ215" s="72"/>
      <c r="BR215" s="72"/>
      <c r="BS215" s="72"/>
      <c r="BT215" s="72"/>
      <c r="BU215" s="72"/>
      <c r="BV215" s="72"/>
      <c r="BW215" s="72"/>
      <c r="BX215" s="72"/>
    </row>
    <row r="216" spans="1:76" s="62" customFormat="1" ht="35.1" customHeight="1">
      <c r="A216" s="87"/>
      <c r="B216" s="82"/>
      <c r="C216" s="80"/>
      <c r="D216" s="59"/>
      <c r="E216" s="59"/>
      <c r="F216" s="80"/>
      <c r="G216" s="80"/>
      <c r="H216" s="43"/>
      <c r="I216" s="43"/>
      <c r="J216" s="43"/>
      <c r="K216" s="16"/>
      <c r="L216" s="60" t="e">
        <f>CONCATENATE(#REF!,F216)</f>
        <v>#REF!</v>
      </c>
      <c r="M216" s="60" t="str">
        <f t="shared" si="13"/>
        <v/>
      </c>
      <c r="N216" s="61" t="str">
        <f t="shared" ref="N216:N235" si="14">IF(D216&gt;=E216,"-","err")</f>
        <v>-</v>
      </c>
      <c r="O216" s="61"/>
      <c r="P216" s="61"/>
      <c r="Q216" s="61"/>
      <c r="R216" s="61"/>
      <c r="S216" s="61"/>
      <c r="T216" s="61"/>
    </row>
    <row r="217" spans="1:76" s="62" customFormat="1" ht="35.1" customHeight="1">
      <c r="A217" s="88"/>
      <c r="B217" s="83"/>
      <c r="C217" s="65"/>
      <c r="D217" s="65"/>
      <c r="E217" s="65"/>
      <c r="F217" s="65"/>
      <c r="G217" s="65"/>
      <c r="H217" s="44"/>
      <c r="I217" s="44">
        <v>0</v>
      </c>
      <c r="J217" s="44">
        <v>0</v>
      </c>
      <c r="K217" s="17"/>
      <c r="L217" s="60" t="e">
        <f>CONCATENATE(#REF!,F217)</f>
        <v>#REF!</v>
      </c>
      <c r="M217" s="60" t="str">
        <f t="shared" si="13"/>
        <v/>
      </c>
      <c r="N217" s="61" t="str">
        <f t="shared" si="14"/>
        <v>-</v>
      </c>
      <c r="O217" s="61"/>
      <c r="P217" s="61"/>
      <c r="Q217" s="61"/>
      <c r="R217" s="61"/>
      <c r="S217" s="61"/>
      <c r="T217" s="61"/>
    </row>
    <row r="218" spans="1:76" s="62" customFormat="1" ht="35.1" customHeight="1">
      <c r="A218" s="88"/>
      <c r="B218" s="86"/>
      <c r="C218" s="65"/>
      <c r="D218" s="65"/>
      <c r="E218" s="65"/>
      <c r="F218" s="65"/>
      <c r="G218" s="65"/>
      <c r="H218" s="44"/>
      <c r="I218" s="44">
        <v>0</v>
      </c>
      <c r="J218" s="44">
        <v>0</v>
      </c>
      <c r="K218" s="17"/>
      <c r="L218" s="60" t="e">
        <f>CONCATENATE(#REF!,F218)</f>
        <v>#REF!</v>
      </c>
      <c r="M218" s="60" t="str">
        <f t="shared" si="13"/>
        <v/>
      </c>
      <c r="N218" s="61" t="str">
        <f t="shared" si="14"/>
        <v>-</v>
      </c>
      <c r="O218" s="61"/>
      <c r="P218" s="61"/>
      <c r="Q218" s="61"/>
      <c r="R218" s="61"/>
      <c r="S218" s="61"/>
      <c r="T218" s="61"/>
    </row>
    <row r="219" spans="1:76" s="62" customFormat="1" ht="35.1" customHeight="1">
      <c r="A219" s="88"/>
      <c r="B219" s="86"/>
      <c r="C219" s="65"/>
      <c r="D219" s="65"/>
      <c r="E219" s="65"/>
      <c r="F219" s="65"/>
      <c r="G219" s="65"/>
      <c r="H219" s="44"/>
      <c r="I219" s="44">
        <v>0</v>
      </c>
      <c r="J219" s="44">
        <v>0</v>
      </c>
      <c r="K219" s="17"/>
      <c r="L219" s="60" t="e">
        <f>CONCATENATE(#REF!,F219)</f>
        <v>#REF!</v>
      </c>
      <c r="M219" s="60" t="str">
        <f t="shared" si="13"/>
        <v/>
      </c>
      <c r="N219" s="61" t="str">
        <f t="shared" si="14"/>
        <v>-</v>
      </c>
      <c r="O219" s="61"/>
      <c r="P219" s="61"/>
      <c r="Q219" s="61"/>
      <c r="R219" s="61"/>
      <c r="S219" s="61"/>
      <c r="T219" s="61"/>
    </row>
    <row r="220" spans="1:76" s="62" customFormat="1" ht="35.1" customHeight="1">
      <c r="A220" s="88"/>
      <c r="B220" s="86"/>
      <c r="C220" s="65"/>
      <c r="D220" s="65"/>
      <c r="E220" s="65"/>
      <c r="F220" s="65"/>
      <c r="G220" s="65"/>
      <c r="H220" s="44"/>
      <c r="I220" s="44">
        <v>0</v>
      </c>
      <c r="J220" s="44">
        <v>0</v>
      </c>
      <c r="K220" s="17"/>
      <c r="L220" s="60" t="e">
        <f>CONCATENATE(#REF!,F220)</f>
        <v>#REF!</v>
      </c>
      <c r="M220" s="60" t="str">
        <f t="shared" si="13"/>
        <v/>
      </c>
      <c r="N220" s="61" t="str">
        <f t="shared" si="14"/>
        <v>-</v>
      </c>
      <c r="O220" s="61"/>
      <c r="P220" s="61"/>
      <c r="Q220" s="61"/>
      <c r="R220" s="61"/>
      <c r="S220" s="61"/>
      <c r="T220" s="61"/>
    </row>
    <row r="221" spans="1:76" s="62" customFormat="1" ht="35.1" customHeight="1">
      <c r="A221" s="63"/>
      <c r="B221" s="83"/>
      <c r="C221" s="65"/>
      <c r="D221" s="65"/>
      <c r="E221" s="65"/>
      <c r="F221" s="65"/>
      <c r="G221" s="65"/>
      <c r="H221" s="44"/>
      <c r="I221" s="44">
        <v>0</v>
      </c>
      <c r="J221" s="44">
        <v>0</v>
      </c>
      <c r="K221" s="17"/>
      <c r="L221" s="60" t="e">
        <f>CONCATENATE(#REF!,F221)</f>
        <v>#REF!</v>
      </c>
      <c r="M221" s="60" t="str">
        <f t="shared" si="13"/>
        <v/>
      </c>
      <c r="N221" s="61" t="str">
        <f t="shared" si="14"/>
        <v>-</v>
      </c>
      <c r="O221" s="61"/>
      <c r="P221" s="61"/>
      <c r="Q221" s="61"/>
      <c r="R221" s="61"/>
      <c r="S221" s="61"/>
      <c r="T221" s="61"/>
    </row>
    <row r="222" spans="1:76" s="62" customFormat="1" ht="35.1" customHeight="1">
      <c r="A222" s="63"/>
      <c r="B222" s="83"/>
      <c r="C222" s="81"/>
      <c r="D222" s="65"/>
      <c r="E222" s="65"/>
      <c r="F222" s="81"/>
      <c r="G222" s="81"/>
      <c r="H222" s="44"/>
      <c r="I222" s="44"/>
      <c r="J222" s="44"/>
      <c r="K222" s="17"/>
      <c r="L222" s="60" t="e">
        <f>CONCATENATE(#REF!,F222)</f>
        <v>#REF!</v>
      </c>
      <c r="M222" s="60" t="str">
        <f t="shared" si="13"/>
        <v/>
      </c>
      <c r="N222" s="61" t="str">
        <f t="shared" si="14"/>
        <v>-</v>
      </c>
      <c r="O222" s="61"/>
      <c r="P222" s="61"/>
      <c r="Q222" s="61"/>
      <c r="R222" s="61"/>
      <c r="S222" s="61"/>
      <c r="T222" s="61"/>
    </row>
    <row r="223" spans="1:76" s="62" customFormat="1" ht="35.1" customHeight="1">
      <c r="A223" s="63"/>
      <c r="B223" s="83"/>
      <c r="C223" s="81"/>
      <c r="D223" s="65"/>
      <c r="E223" s="65"/>
      <c r="F223" s="81"/>
      <c r="G223" s="81"/>
      <c r="H223" s="44"/>
      <c r="I223" s="44">
        <v>0</v>
      </c>
      <c r="J223" s="44">
        <v>0</v>
      </c>
      <c r="K223" s="17"/>
      <c r="L223" s="60" t="e">
        <f>CONCATENATE(#REF!,F223)</f>
        <v>#REF!</v>
      </c>
      <c r="M223" s="60" t="str">
        <f t="shared" si="13"/>
        <v/>
      </c>
      <c r="N223" s="61" t="str">
        <f t="shared" si="14"/>
        <v>-</v>
      </c>
      <c r="O223" s="61"/>
      <c r="P223" s="61"/>
      <c r="Q223" s="61"/>
      <c r="R223" s="61"/>
      <c r="S223" s="61"/>
      <c r="T223" s="61"/>
    </row>
    <row r="224" spans="1:76" s="62" customFormat="1" ht="35.1" customHeight="1">
      <c r="A224" s="63"/>
      <c r="B224" s="83"/>
      <c r="C224" s="81"/>
      <c r="D224" s="65"/>
      <c r="E224" s="65"/>
      <c r="F224" s="81"/>
      <c r="G224" s="81"/>
      <c r="H224" s="44">
        <v>0</v>
      </c>
      <c r="I224" s="44">
        <v>0</v>
      </c>
      <c r="J224" s="44">
        <v>0</v>
      </c>
      <c r="K224" s="17"/>
      <c r="L224" s="60" t="e">
        <f>CONCATENATE(#REF!,F224)</f>
        <v>#REF!</v>
      </c>
      <c r="M224" s="60" t="str">
        <f t="shared" si="13"/>
        <v/>
      </c>
      <c r="N224" s="61" t="str">
        <f t="shared" si="14"/>
        <v>-</v>
      </c>
      <c r="O224" s="61"/>
      <c r="P224" s="61"/>
      <c r="Q224" s="61"/>
      <c r="R224" s="61"/>
      <c r="S224" s="61"/>
      <c r="T224" s="61"/>
    </row>
    <row r="225" spans="1:76" s="62" customFormat="1" ht="35.1" customHeight="1">
      <c r="A225" s="63"/>
      <c r="B225" s="83"/>
      <c r="C225" s="81"/>
      <c r="D225" s="65"/>
      <c r="E225" s="65"/>
      <c r="F225" s="81"/>
      <c r="G225" s="81"/>
      <c r="H225" s="44">
        <v>0</v>
      </c>
      <c r="I225" s="44">
        <v>0</v>
      </c>
      <c r="J225" s="44">
        <v>0</v>
      </c>
      <c r="K225" s="17"/>
      <c r="L225" s="60" t="e">
        <f>CONCATENATE(#REF!,F225)</f>
        <v>#REF!</v>
      </c>
      <c r="M225" s="60" t="str">
        <f t="shared" si="13"/>
        <v/>
      </c>
      <c r="N225" s="61" t="str">
        <f t="shared" si="14"/>
        <v>-</v>
      </c>
      <c r="O225" s="61"/>
      <c r="P225" s="61"/>
      <c r="Q225" s="61"/>
      <c r="R225" s="61"/>
      <c r="S225" s="61"/>
      <c r="T225" s="61"/>
    </row>
    <row r="226" spans="1:76" s="62" customFormat="1" ht="35.1" customHeight="1">
      <c r="A226" s="63"/>
      <c r="B226" s="83"/>
      <c r="C226" s="81"/>
      <c r="D226" s="65"/>
      <c r="E226" s="65"/>
      <c r="F226" s="81"/>
      <c r="G226" s="81"/>
      <c r="H226" s="44">
        <v>0</v>
      </c>
      <c r="I226" s="44">
        <v>0</v>
      </c>
      <c r="J226" s="44">
        <v>0</v>
      </c>
      <c r="K226" s="17"/>
      <c r="L226" s="60" t="e">
        <f>CONCATENATE(#REF!,F226)</f>
        <v>#REF!</v>
      </c>
      <c r="M226" s="60" t="str">
        <f t="shared" si="13"/>
        <v/>
      </c>
      <c r="N226" s="61" t="str">
        <f t="shared" si="14"/>
        <v>-</v>
      </c>
      <c r="O226" s="61"/>
      <c r="P226" s="61"/>
      <c r="Q226" s="61"/>
      <c r="R226" s="61"/>
      <c r="S226" s="61"/>
      <c r="T226" s="61"/>
    </row>
    <row r="227" spans="1:76" s="62" customFormat="1" ht="35.1" customHeight="1">
      <c r="A227" s="63"/>
      <c r="B227" s="64"/>
      <c r="C227" s="65"/>
      <c r="D227" s="65"/>
      <c r="E227" s="65"/>
      <c r="F227" s="65"/>
      <c r="G227" s="65"/>
      <c r="H227" s="44"/>
      <c r="I227" s="44"/>
      <c r="J227" s="44"/>
      <c r="K227" s="17"/>
      <c r="L227" s="60" t="e">
        <f>CONCATENATE(#REF!,F227)</f>
        <v>#REF!</v>
      </c>
      <c r="M227" s="60" t="str">
        <f t="shared" si="13"/>
        <v/>
      </c>
      <c r="N227" s="61" t="str">
        <f t="shared" si="14"/>
        <v>-</v>
      </c>
      <c r="O227" s="61"/>
      <c r="P227" s="61"/>
      <c r="Q227" s="61"/>
      <c r="R227" s="61"/>
      <c r="S227" s="61"/>
      <c r="T227" s="61"/>
    </row>
    <row r="228" spans="1:76" s="62" customFormat="1" ht="35.1" customHeight="1">
      <c r="A228" s="63"/>
      <c r="B228" s="64"/>
      <c r="C228" s="65"/>
      <c r="D228" s="65"/>
      <c r="E228" s="65"/>
      <c r="F228" s="65"/>
      <c r="G228" s="65"/>
      <c r="H228" s="44"/>
      <c r="I228" s="44"/>
      <c r="J228" s="44"/>
      <c r="K228" s="17"/>
      <c r="L228" s="60" t="e">
        <f>CONCATENATE(#REF!,F228)</f>
        <v>#REF!</v>
      </c>
      <c r="M228" s="60" t="str">
        <f t="shared" si="13"/>
        <v/>
      </c>
      <c r="N228" s="61" t="str">
        <f t="shared" si="14"/>
        <v>-</v>
      </c>
      <c r="O228" s="61"/>
      <c r="P228" s="61"/>
      <c r="Q228" s="61"/>
      <c r="R228" s="61"/>
      <c r="S228" s="61"/>
      <c r="T228" s="61"/>
    </row>
    <row r="229" spans="1:76" s="62" customFormat="1" ht="35.1" customHeight="1">
      <c r="A229" s="63"/>
      <c r="B229" s="64"/>
      <c r="C229" s="65"/>
      <c r="D229" s="65"/>
      <c r="E229" s="65"/>
      <c r="F229" s="65"/>
      <c r="G229" s="65"/>
      <c r="H229" s="44"/>
      <c r="I229" s="44"/>
      <c r="J229" s="44"/>
      <c r="K229" s="17"/>
      <c r="L229" s="60" t="e">
        <f>CONCATENATE(#REF!,F229)</f>
        <v>#REF!</v>
      </c>
      <c r="M229" s="60" t="str">
        <f t="shared" si="13"/>
        <v/>
      </c>
      <c r="N229" s="61" t="str">
        <f t="shared" si="14"/>
        <v>-</v>
      </c>
      <c r="O229" s="61"/>
      <c r="P229" s="61"/>
      <c r="Q229" s="61"/>
      <c r="R229" s="61"/>
      <c r="S229" s="61"/>
      <c r="T229" s="61"/>
    </row>
    <row r="230" spans="1:76" s="62" customFormat="1" ht="35.1" customHeight="1">
      <c r="A230" s="63"/>
      <c r="B230" s="64"/>
      <c r="C230" s="65"/>
      <c r="D230" s="65"/>
      <c r="E230" s="65"/>
      <c r="F230" s="65"/>
      <c r="G230" s="65"/>
      <c r="H230" s="44"/>
      <c r="I230" s="44"/>
      <c r="J230" s="44"/>
      <c r="K230" s="17"/>
      <c r="L230" s="60" t="e">
        <f>CONCATENATE(#REF!,F230)</f>
        <v>#REF!</v>
      </c>
      <c r="M230" s="60" t="str">
        <f t="shared" si="13"/>
        <v/>
      </c>
      <c r="N230" s="61" t="str">
        <f t="shared" si="14"/>
        <v>-</v>
      </c>
      <c r="O230" s="61"/>
      <c r="P230" s="61"/>
      <c r="Q230" s="61"/>
      <c r="R230" s="61"/>
      <c r="S230" s="61"/>
      <c r="T230" s="61"/>
    </row>
    <row r="231" spans="1:76" s="62" customFormat="1" ht="35.1" customHeight="1">
      <c r="A231" s="63"/>
      <c r="B231" s="64"/>
      <c r="C231" s="65"/>
      <c r="D231" s="65"/>
      <c r="E231" s="65"/>
      <c r="F231" s="65"/>
      <c r="G231" s="65"/>
      <c r="H231" s="44"/>
      <c r="I231" s="44"/>
      <c r="J231" s="44"/>
      <c r="K231" s="17"/>
      <c r="L231" s="60" t="e">
        <f>CONCATENATE(#REF!,F231)</f>
        <v>#REF!</v>
      </c>
      <c r="M231" s="60" t="str">
        <f t="shared" si="13"/>
        <v/>
      </c>
      <c r="N231" s="61" t="str">
        <f t="shared" si="14"/>
        <v>-</v>
      </c>
      <c r="O231" s="61"/>
      <c r="P231" s="61"/>
      <c r="Q231" s="61"/>
      <c r="R231" s="61"/>
      <c r="S231" s="61"/>
      <c r="T231" s="61"/>
    </row>
    <row r="232" spans="1:76" s="62" customFormat="1" ht="35.1" customHeight="1">
      <c r="A232" s="63"/>
      <c r="B232" s="64"/>
      <c r="C232" s="65"/>
      <c r="D232" s="65"/>
      <c r="E232" s="65"/>
      <c r="F232" s="65"/>
      <c r="G232" s="65"/>
      <c r="H232" s="44"/>
      <c r="I232" s="44"/>
      <c r="J232" s="44"/>
      <c r="K232" s="17"/>
      <c r="L232" s="60" t="e">
        <f>CONCATENATE(#REF!,F232)</f>
        <v>#REF!</v>
      </c>
      <c r="M232" s="60" t="str">
        <f t="shared" si="13"/>
        <v/>
      </c>
      <c r="N232" s="61" t="str">
        <f t="shared" si="14"/>
        <v>-</v>
      </c>
      <c r="O232" s="61"/>
      <c r="P232" s="61"/>
      <c r="Q232" s="61"/>
      <c r="R232" s="61"/>
      <c r="S232" s="61"/>
      <c r="T232" s="61"/>
    </row>
    <row r="233" spans="1:76" s="62" customFormat="1" ht="35.1" customHeight="1">
      <c r="A233" s="63"/>
      <c r="B233" s="64"/>
      <c r="C233" s="65"/>
      <c r="D233" s="65"/>
      <c r="E233" s="65"/>
      <c r="F233" s="65"/>
      <c r="G233" s="65"/>
      <c r="H233" s="44"/>
      <c r="I233" s="44"/>
      <c r="J233" s="44"/>
      <c r="K233" s="17"/>
      <c r="L233" s="60" t="e">
        <f>CONCATENATE(#REF!,F233)</f>
        <v>#REF!</v>
      </c>
      <c r="M233" s="60" t="str">
        <f t="shared" si="13"/>
        <v/>
      </c>
      <c r="N233" s="61" t="str">
        <f t="shared" si="14"/>
        <v>-</v>
      </c>
      <c r="O233" s="61"/>
      <c r="P233" s="61"/>
      <c r="Q233" s="61"/>
      <c r="R233" s="61"/>
      <c r="S233" s="61"/>
      <c r="T233" s="61"/>
    </row>
    <row r="234" spans="1:76" s="62" customFormat="1" ht="35.1" customHeight="1">
      <c r="A234" s="63"/>
      <c r="B234" s="64"/>
      <c r="C234" s="65"/>
      <c r="D234" s="65"/>
      <c r="E234" s="65"/>
      <c r="F234" s="65"/>
      <c r="G234" s="65"/>
      <c r="H234" s="44"/>
      <c r="I234" s="44"/>
      <c r="J234" s="44"/>
      <c r="K234" s="17"/>
      <c r="L234" s="60" t="e">
        <f>CONCATENATE(#REF!,F234)</f>
        <v>#REF!</v>
      </c>
      <c r="M234" s="60" t="str">
        <f t="shared" si="13"/>
        <v/>
      </c>
      <c r="N234" s="61" t="str">
        <f t="shared" si="14"/>
        <v>-</v>
      </c>
      <c r="O234" s="61"/>
      <c r="P234" s="61"/>
      <c r="Q234" s="61"/>
      <c r="R234" s="61"/>
      <c r="S234" s="61"/>
      <c r="T234" s="61"/>
    </row>
    <row r="235" spans="1:76" s="62" customFormat="1" ht="35.1" customHeight="1">
      <c r="A235" s="77"/>
      <c r="B235" s="78"/>
      <c r="C235" s="79"/>
      <c r="D235" s="79"/>
      <c r="E235" s="79"/>
      <c r="F235" s="79"/>
      <c r="G235" s="79"/>
      <c r="H235" s="90"/>
      <c r="I235" s="90"/>
      <c r="J235" s="90"/>
      <c r="K235" s="91"/>
      <c r="L235" s="60" t="e">
        <f>CONCATENATE(#REF!,F235)</f>
        <v>#REF!</v>
      </c>
      <c r="M235" s="60" t="str">
        <f t="shared" si="13"/>
        <v/>
      </c>
      <c r="N235" s="61" t="str">
        <f t="shared" si="14"/>
        <v>-</v>
      </c>
      <c r="O235" s="61"/>
      <c r="P235" s="61"/>
      <c r="Q235" s="61"/>
      <c r="R235" s="61"/>
      <c r="S235" s="61"/>
      <c r="T235" s="61"/>
    </row>
    <row r="236" spans="1:76" s="73" customFormat="1" ht="35.1" customHeight="1">
      <c r="A236" s="66" t="s">
        <v>41</v>
      </c>
      <c r="B236" s="67"/>
      <c r="C236" s="68"/>
      <c r="D236" s="69"/>
      <c r="E236" s="69">
        <f>SUM(E216:E235)</f>
        <v>0</v>
      </c>
      <c r="F236" s="70"/>
      <c r="G236" s="70"/>
      <c r="H236" s="70"/>
      <c r="I236" s="70"/>
      <c r="J236" s="70"/>
      <c r="K236" s="71"/>
      <c r="L236" s="60" t="e">
        <f>CONCATENATE(#REF!,F236)</f>
        <v>#REF!</v>
      </c>
      <c r="M236" s="60" t="str">
        <f t="shared" si="13"/>
        <v/>
      </c>
      <c r="N236" s="61"/>
      <c r="O236" s="61"/>
      <c r="P236" s="61"/>
      <c r="Q236" s="61"/>
      <c r="R236" s="61"/>
      <c r="S236" s="61"/>
      <c r="T236" s="61"/>
      <c r="U236" s="72"/>
      <c r="V236" s="72"/>
      <c r="W236" s="72"/>
      <c r="X236" s="72"/>
      <c r="Y236" s="72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72"/>
      <c r="AT236" s="72"/>
      <c r="AU236" s="72"/>
      <c r="AV236" s="72"/>
      <c r="AW236" s="72"/>
      <c r="AX236" s="72"/>
      <c r="AY236" s="72"/>
      <c r="AZ236" s="72"/>
      <c r="BA236" s="72"/>
      <c r="BB236" s="72"/>
      <c r="BC236" s="72"/>
      <c r="BD236" s="72"/>
      <c r="BE236" s="72"/>
      <c r="BF236" s="72"/>
      <c r="BG236" s="72"/>
      <c r="BH236" s="72"/>
      <c r="BI236" s="72"/>
      <c r="BJ236" s="72"/>
      <c r="BK236" s="72"/>
      <c r="BL236" s="72"/>
      <c r="BM236" s="72"/>
      <c r="BN236" s="72"/>
      <c r="BO236" s="72"/>
      <c r="BP236" s="72"/>
      <c r="BQ236" s="72"/>
      <c r="BR236" s="72"/>
      <c r="BS236" s="72"/>
      <c r="BT236" s="72"/>
      <c r="BU236" s="72"/>
      <c r="BV236" s="72"/>
      <c r="BW236" s="72"/>
      <c r="BX236" s="72"/>
    </row>
    <row r="237" spans="1:76" s="62" customFormat="1" ht="35.1" customHeight="1">
      <c r="A237" s="87"/>
      <c r="B237" s="82"/>
      <c r="C237" s="80"/>
      <c r="D237" s="59"/>
      <c r="E237" s="59"/>
      <c r="F237" s="80"/>
      <c r="G237" s="80"/>
      <c r="H237" s="43"/>
      <c r="I237" s="43"/>
      <c r="J237" s="43"/>
      <c r="K237" s="16"/>
      <c r="L237" s="60" t="e">
        <f>CONCATENATE(#REF!,F237)</f>
        <v>#REF!</v>
      </c>
      <c r="M237" s="60" t="str">
        <f t="shared" si="13"/>
        <v/>
      </c>
      <c r="N237" s="61" t="str">
        <f t="shared" ref="N237:N256" si="15">IF(D237&gt;=E237,"-","err")</f>
        <v>-</v>
      </c>
      <c r="O237" s="61"/>
      <c r="P237" s="61"/>
      <c r="Q237" s="61"/>
      <c r="R237" s="61"/>
      <c r="S237" s="61"/>
      <c r="T237" s="61"/>
    </row>
    <row r="238" spans="1:76" s="62" customFormat="1" ht="35.1" customHeight="1">
      <c r="A238" s="88"/>
      <c r="B238" s="83"/>
      <c r="C238" s="65"/>
      <c r="D238" s="65"/>
      <c r="E238" s="65"/>
      <c r="F238" s="65"/>
      <c r="G238" s="65"/>
      <c r="H238" s="44"/>
      <c r="I238" s="44">
        <v>0</v>
      </c>
      <c r="J238" s="44">
        <v>0</v>
      </c>
      <c r="K238" s="17"/>
      <c r="L238" s="60" t="e">
        <f>CONCATENATE(#REF!,F238)</f>
        <v>#REF!</v>
      </c>
      <c r="M238" s="60" t="str">
        <f t="shared" si="13"/>
        <v/>
      </c>
      <c r="N238" s="61" t="str">
        <f t="shared" si="15"/>
        <v>-</v>
      </c>
      <c r="O238" s="61"/>
      <c r="P238" s="61"/>
      <c r="Q238" s="61"/>
      <c r="R238" s="61"/>
      <c r="S238" s="61"/>
      <c r="T238" s="61"/>
    </row>
    <row r="239" spans="1:76" s="62" customFormat="1" ht="35.1" customHeight="1">
      <c r="A239" s="88"/>
      <c r="B239" s="86"/>
      <c r="C239" s="65"/>
      <c r="D239" s="65"/>
      <c r="E239" s="65"/>
      <c r="F239" s="65"/>
      <c r="G239" s="65"/>
      <c r="H239" s="44"/>
      <c r="I239" s="44">
        <v>0</v>
      </c>
      <c r="J239" s="44">
        <v>0</v>
      </c>
      <c r="K239" s="17"/>
      <c r="L239" s="60" t="e">
        <f>CONCATENATE(#REF!,F239)</f>
        <v>#REF!</v>
      </c>
      <c r="M239" s="60" t="str">
        <f t="shared" si="13"/>
        <v/>
      </c>
      <c r="N239" s="61" t="str">
        <f t="shared" si="15"/>
        <v>-</v>
      </c>
      <c r="O239" s="61"/>
      <c r="P239" s="61"/>
      <c r="Q239" s="61"/>
      <c r="R239" s="61"/>
      <c r="S239" s="61"/>
      <c r="T239" s="61"/>
    </row>
    <row r="240" spans="1:76" s="62" customFormat="1" ht="35.1" customHeight="1">
      <c r="A240" s="88"/>
      <c r="B240" s="86"/>
      <c r="C240" s="65"/>
      <c r="D240" s="65"/>
      <c r="E240" s="65"/>
      <c r="F240" s="65"/>
      <c r="G240" s="65"/>
      <c r="H240" s="44"/>
      <c r="I240" s="44">
        <v>0</v>
      </c>
      <c r="J240" s="44">
        <v>0</v>
      </c>
      <c r="K240" s="17"/>
      <c r="L240" s="60" t="e">
        <f>CONCATENATE(#REF!,F240)</f>
        <v>#REF!</v>
      </c>
      <c r="M240" s="60" t="str">
        <f t="shared" si="13"/>
        <v/>
      </c>
      <c r="N240" s="61" t="str">
        <f t="shared" si="15"/>
        <v>-</v>
      </c>
      <c r="O240" s="61"/>
      <c r="P240" s="61"/>
      <c r="Q240" s="61"/>
      <c r="R240" s="61"/>
      <c r="S240" s="61"/>
      <c r="T240" s="61"/>
    </row>
    <row r="241" spans="1:20" s="62" customFormat="1" ht="35.1" customHeight="1">
      <c r="A241" s="88"/>
      <c r="B241" s="86"/>
      <c r="C241" s="65"/>
      <c r="D241" s="65"/>
      <c r="E241" s="65"/>
      <c r="F241" s="65"/>
      <c r="G241" s="65"/>
      <c r="H241" s="44"/>
      <c r="I241" s="44">
        <v>0</v>
      </c>
      <c r="J241" s="44">
        <v>0</v>
      </c>
      <c r="K241" s="17"/>
      <c r="L241" s="60" t="e">
        <f>CONCATENATE(#REF!,F241)</f>
        <v>#REF!</v>
      </c>
      <c r="M241" s="60" t="str">
        <f t="shared" si="13"/>
        <v/>
      </c>
      <c r="N241" s="61" t="str">
        <f t="shared" si="15"/>
        <v>-</v>
      </c>
      <c r="O241" s="61"/>
      <c r="P241" s="61"/>
      <c r="Q241" s="61"/>
      <c r="R241" s="61"/>
      <c r="S241" s="61"/>
      <c r="T241" s="61"/>
    </row>
    <row r="242" spans="1:20" s="62" customFormat="1" ht="35.1" customHeight="1">
      <c r="A242" s="63"/>
      <c r="B242" s="83"/>
      <c r="C242" s="65"/>
      <c r="D242" s="65"/>
      <c r="E242" s="65"/>
      <c r="F242" s="65"/>
      <c r="G242" s="65"/>
      <c r="H242" s="44"/>
      <c r="I242" s="44">
        <v>0</v>
      </c>
      <c r="J242" s="44">
        <v>0</v>
      </c>
      <c r="K242" s="17"/>
      <c r="L242" s="60" t="e">
        <f>CONCATENATE(#REF!,F242)</f>
        <v>#REF!</v>
      </c>
      <c r="M242" s="60" t="str">
        <f t="shared" si="13"/>
        <v/>
      </c>
      <c r="N242" s="61" t="str">
        <f t="shared" si="15"/>
        <v>-</v>
      </c>
      <c r="O242" s="61"/>
      <c r="P242" s="61"/>
      <c r="Q242" s="61"/>
      <c r="R242" s="61"/>
      <c r="S242" s="61"/>
      <c r="T242" s="61"/>
    </row>
    <row r="243" spans="1:20" s="62" customFormat="1" ht="35.1" customHeight="1">
      <c r="A243" s="63"/>
      <c r="B243" s="83"/>
      <c r="C243" s="81"/>
      <c r="D243" s="65"/>
      <c r="E243" s="65"/>
      <c r="F243" s="81"/>
      <c r="G243" s="81"/>
      <c r="H243" s="44"/>
      <c r="I243" s="44"/>
      <c r="J243" s="44"/>
      <c r="K243" s="17"/>
      <c r="L243" s="60" t="e">
        <f>CONCATENATE(#REF!,F243)</f>
        <v>#REF!</v>
      </c>
      <c r="M243" s="60" t="str">
        <f t="shared" si="13"/>
        <v/>
      </c>
      <c r="N243" s="61" t="str">
        <f t="shared" si="15"/>
        <v>-</v>
      </c>
      <c r="O243" s="61"/>
      <c r="P243" s="61"/>
      <c r="Q243" s="61"/>
      <c r="R243" s="61"/>
      <c r="S243" s="61"/>
      <c r="T243" s="61"/>
    </row>
    <row r="244" spans="1:20" s="62" customFormat="1" ht="35.1" customHeight="1">
      <c r="A244" s="63"/>
      <c r="B244" s="83"/>
      <c r="C244" s="81"/>
      <c r="D244" s="65"/>
      <c r="E244" s="65"/>
      <c r="F244" s="81"/>
      <c r="G244" s="81"/>
      <c r="H244" s="44"/>
      <c r="I244" s="44">
        <v>0</v>
      </c>
      <c r="J244" s="44">
        <v>0</v>
      </c>
      <c r="K244" s="17"/>
      <c r="L244" s="60" t="e">
        <f>CONCATENATE(#REF!,F244)</f>
        <v>#REF!</v>
      </c>
      <c r="M244" s="60" t="str">
        <f t="shared" si="13"/>
        <v/>
      </c>
      <c r="N244" s="61" t="str">
        <f t="shared" si="15"/>
        <v>-</v>
      </c>
      <c r="O244" s="61"/>
      <c r="P244" s="61"/>
      <c r="Q244" s="61"/>
      <c r="R244" s="61"/>
      <c r="S244" s="61"/>
      <c r="T244" s="61"/>
    </row>
    <row r="245" spans="1:20" s="62" customFormat="1" ht="35.1" customHeight="1">
      <c r="A245" s="63"/>
      <c r="B245" s="83"/>
      <c r="C245" s="81"/>
      <c r="D245" s="65"/>
      <c r="E245" s="65"/>
      <c r="F245" s="81"/>
      <c r="G245" s="81"/>
      <c r="H245" s="44">
        <v>0</v>
      </c>
      <c r="I245" s="44">
        <v>0</v>
      </c>
      <c r="J245" s="44">
        <v>0</v>
      </c>
      <c r="K245" s="17"/>
      <c r="L245" s="60" t="e">
        <f>CONCATENATE(#REF!,F245)</f>
        <v>#REF!</v>
      </c>
      <c r="M245" s="60" t="str">
        <f t="shared" si="13"/>
        <v/>
      </c>
      <c r="N245" s="61" t="str">
        <f t="shared" si="15"/>
        <v>-</v>
      </c>
      <c r="O245" s="61"/>
      <c r="P245" s="61"/>
      <c r="Q245" s="61"/>
      <c r="R245" s="61"/>
      <c r="S245" s="61"/>
      <c r="T245" s="61"/>
    </row>
    <row r="246" spans="1:20" s="62" customFormat="1" ht="35.1" customHeight="1">
      <c r="A246" s="63"/>
      <c r="B246" s="83"/>
      <c r="C246" s="81"/>
      <c r="D246" s="65"/>
      <c r="E246" s="65"/>
      <c r="F246" s="81"/>
      <c r="G246" s="81"/>
      <c r="H246" s="44">
        <v>0</v>
      </c>
      <c r="I246" s="44">
        <v>0</v>
      </c>
      <c r="J246" s="44">
        <v>0</v>
      </c>
      <c r="K246" s="17"/>
      <c r="L246" s="60" t="e">
        <f>CONCATENATE(#REF!,F246)</f>
        <v>#REF!</v>
      </c>
      <c r="M246" s="60" t="str">
        <f t="shared" si="13"/>
        <v/>
      </c>
      <c r="N246" s="61" t="str">
        <f t="shared" si="15"/>
        <v>-</v>
      </c>
      <c r="O246" s="61"/>
      <c r="P246" s="61"/>
      <c r="Q246" s="61"/>
      <c r="R246" s="61"/>
      <c r="S246" s="61"/>
      <c r="T246" s="61"/>
    </row>
    <row r="247" spans="1:20" s="62" customFormat="1" ht="35.1" customHeight="1">
      <c r="A247" s="63"/>
      <c r="B247" s="83"/>
      <c r="C247" s="81"/>
      <c r="D247" s="65"/>
      <c r="E247" s="65"/>
      <c r="F247" s="81"/>
      <c r="G247" s="81"/>
      <c r="H247" s="44">
        <v>0</v>
      </c>
      <c r="I247" s="44">
        <v>0</v>
      </c>
      <c r="J247" s="44">
        <v>0</v>
      </c>
      <c r="K247" s="17"/>
      <c r="L247" s="60" t="e">
        <f>CONCATENATE(#REF!,F247)</f>
        <v>#REF!</v>
      </c>
      <c r="M247" s="60" t="str">
        <f t="shared" si="13"/>
        <v/>
      </c>
      <c r="N247" s="61" t="str">
        <f t="shared" si="15"/>
        <v>-</v>
      </c>
      <c r="O247" s="61"/>
      <c r="P247" s="61"/>
      <c r="Q247" s="61"/>
      <c r="R247" s="61"/>
      <c r="S247" s="61"/>
      <c r="T247" s="61"/>
    </row>
    <row r="248" spans="1:20" s="62" customFormat="1" ht="35.1" customHeight="1">
      <c r="A248" s="63"/>
      <c r="B248" s="64"/>
      <c r="C248" s="65"/>
      <c r="D248" s="65"/>
      <c r="E248" s="65"/>
      <c r="F248" s="65"/>
      <c r="G248" s="65"/>
      <c r="H248" s="44"/>
      <c r="I248" s="44"/>
      <c r="J248" s="44"/>
      <c r="K248" s="17"/>
      <c r="L248" s="60" t="e">
        <f>CONCATENATE(#REF!,F248)</f>
        <v>#REF!</v>
      </c>
      <c r="M248" s="60" t="str">
        <f t="shared" si="13"/>
        <v/>
      </c>
      <c r="N248" s="61" t="str">
        <f t="shared" si="15"/>
        <v>-</v>
      </c>
      <c r="O248" s="61"/>
      <c r="P248" s="61"/>
      <c r="Q248" s="61"/>
      <c r="R248" s="61"/>
      <c r="S248" s="61"/>
      <c r="T248" s="61"/>
    </row>
    <row r="249" spans="1:20" s="62" customFormat="1" ht="35.1" customHeight="1">
      <c r="A249" s="63"/>
      <c r="B249" s="64"/>
      <c r="C249" s="65"/>
      <c r="D249" s="65"/>
      <c r="E249" s="65"/>
      <c r="F249" s="65"/>
      <c r="G249" s="65"/>
      <c r="H249" s="44"/>
      <c r="I249" s="44"/>
      <c r="J249" s="44"/>
      <c r="K249" s="17"/>
      <c r="L249" s="60" t="e">
        <f>CONCATENATE(#REF!,F249)</f>
        <v>#REF!</v>
      </c>
      <c r="M249" s="60" t="str">
        <f t="shared" si="13"/>
        <v/>
      </c>
      <c r="N249" s="61" t="str">
        <f t="shared" si="15"/>
        <v>-</v>
      </c>
      <c r="O249" s="61"/>
      <c r="P249" s="61"/>
      <c r="Q249" s="61"/>
      <c r="R249" s="61"/>
      <c r="S249" s="61"/>
      <c r="T249" s="61"/>
    </row>
    <row r="250" spans="1:20" s="62" customFormat="1" ht="35.1" customHeight="1">
      <c r="A250" s="63"/>
      <c r="B250" s="64"/>
      <c r="C250" s="65"/>
      <c r="D250" s="65"/>
      <c r="E250" s="65"/>
      <c r="F250" s="65"/>
      <c r="G250" s="65"/>
      <c r="H250" s="44"/>
      <c r="I250" s="44"/>
      <c r="J250" s="44"/>
      <c r="K250" s="17"/>
      <c r="L250" s="60" t="e">
        <f>CONCATENATE(#REF!,F250)</f>
        <v>#REF!</v>
      </c>
      <c r="M250" s="60" t="str">
        <f t="shared" si="13"/>
        <v/>
      </c>
      <c r="N250" s="61" t="str">
        <f t="shared" si="15"/>
        <v>-</v>
      </c>
      <c r="O250" s="61"/>
      <c r="P250" s="61"/>
      <c r="Q250" s="61"/>
      <c r="R250" s="61"/>
      <c r="S250" s="61"/>
      <c r="T250" s="61"/>
    </row>
    <row r="251" spans="1:20" s="62" customFormat="1" ht="35.1" customHeight="1">
      <c r="A251" s="63"/>
      <c r="B251" s="64"/>
      <c r="C251" s="65"/>
      <c r="D251" s="65"/>
      <c r="E251" s="65"/>
      <c r="F251" s="65"/>
      <c r="G251" s="65"/>
      <c r="H251" s="44"/>
      <c r="I251" s="44"/>
      <c r="J251" s="44"/>
      <c r="K251" s="17"/>
      <c r="L251" s="60" t="e">
        <f>CONCATENATE(#REF!,F251)</f>
        <v>#REF!</v>
      </c>
      <c r="M251" s="60" t="str">
        <f t="shared" si="13"/>
        <v/>
      </c>
      <c r="N251" s="61" t="str">
        <f t="shared" si="15"/>
        <v>-</v>
      </c>
      <c r="O251" s="61"/>
      <c r="P251" s="61"/>
      <c r="Q251" s="61"/>
      <c r="R251" s="61"/>
      <c r="S251" s="61"/>
      <c r="T251" s="61"/>
    </row>
    <row r="252" spans="1:20" s="62" customFormat="1" ht="35.1" customHeight="1">
      <c r="A252" s="63"/>
      <c r="B252" s="64"/>
      <c r="C252" s="65"/>
      <c r="D252" s="65"/>
      <c r="E252" s="65"/>
      <c r="F252" s="65"/>
      <c r="G252" s="65"/>
      <c r="H252" s="44"/>
      <c r="I252" s="44"/>
      <c r="J252" s="44"/>
      <c r="K252" s="17"/>
      <c r="L252" s="60" t="e">
        <f>CONCATENATE(#REF!,F252)</f>
        <v>#REF!</v>
      </c>
      <c r="M252" s="60" t="str">
        <f t="shared" si="13"/>
        <v/>
      </c>
      <c r="N252" s="61" t="str">
        <f t="shared" si="15"/>
        <v>-</v>
      </c>
      <c r="O252" s="61"/>
      <c r="P252" s="61"/>
      <c r="Q252" s="61"/>
      <c r="R252" s="61"/>
      <c r="S252" s="61"/>
      <c r="T252" s="61"/>
    </row>
    <row r="253" spans="1:20" s="62" customFormat="1" ht="35.1" customHeight="1">
      <c r="A253" s="63"/>
      <c r="B253" s="64"/>
      <c r="C253" s="65"/>
      <c r="D253" s="65"/>
      <c r="E253" s="65"/>
      <c r="F253" s="65"/>
      <c r="G253" s="65"/>
      <c r="H253" s="44"/>
      <c r="I253" s="44"/>
      <c r="J253" s="44"/>
      <c r="K253" s="17"/>
      <c r="L253" s="60" t="e">
        <f>CONCATENATE(#REF!,F253)</f>
        <v>#REF!</v>
      </c>
      <c r="M253" s="60" t="str">
        <f t="shared" si="13"/>
        <v/>
      </c>
      <c r="N253" s="61" t="str">
        <f t="shared" si="15"/>
        <v>-</v>
      </c>
      <c r="O253" s="61"/>
      <c r="P253" s="61"/>
      <c r="Q253" s="61"/>
      <c r="R253" s="61"/>
      <c r="S253" s="61"/>
      <c r="T253" s="61"/>
    </row>
    <row r="254" spans="1:20" s="62" customFormat="1" ht="35.1" customHeight="1">
      <c r="A254" s="63"/>
      <c r="B254" s="64"/>
      <c r="C254" s="65"/>
      <c r="D254" s="65"/>
      <c r="E254" s="65"/>
      <c r="F254" s="65"/>
      <c r="G254" s="65"/>
      <c r="H254" s="44"/>
      <c r="I254" s="44"/>
      <c r="J254" s="44"/>
      <c r="K254" s="17"/>
      <c r="L254" s="60" t="e">
        <f>CONCATENATE(#REF!,F254)</f>
        <v>#REF!</v>
      </c>
      <c r="M254" s="60" t="str">
        <f t="shared" si="13"/>
        <v/>
      </c>
      <c r="N254" s="61" t="str">
        <f t="shared" si="15"/>
        <v>-</v>
      </c>
      <c r="O254" s="61"/>
      <c r="P254" s="61"/>
      <c r="Q254" s="61"/>
      <c r="R254" s="61"/>
      <c r="S254" s="61"/>
      <c r="T254" s="61"/>
    </row>
    <row r="255" spans="1:20" s="62" customFormat="1" ht="35.1" customHeight="1">
      <c r="A255" s="63"/>
      <c r="B255" s="64"/>
      <c r="C255" s="65"/>
      <c r="D255" s="65"/>
      <c r="E255" s="65"/>
      <c r="F255" s="65"/>
      <c r="G255" s="65"/>
      <c r="H255" s="44"/>
      <c r="I255" s="44"/>
      <c r="J255" s="44"/>
      <c r="K255" s="17"/>
      <c r="L255" s="60" t="e">
        <f>CONCATENATE(#REF!,F255)</f>
        <v>#REF!</v>
      </c>
      <c r="M255" s="60" t="str">
        <f t="shared" si="13"/>
        <v/>
      </c>
      <c r="N255" s="61" t="str">
        <f t="shared" si="15"/>
        <v>-</v>
      </c>
      <c r="O255" s="61"/>
      <c r="P255" s="61"/>
      <c r="Q255" s="61"/>
      <c r="R255" s="61"/>
      <c r="S255" s="61"/>
      <c r="T255" s="61"/>
    </row>
    <row r="256" spans="1:20" s="62" customFormat="1" ht="35.1" customHeight="1">
      <c r="A256" s="77"/>
      <c r="B256" s="78"/>
      <c r="C256" s="79"/>
      <c r="D256" s="79"/>
      <c r="E256" s="79"/>
      <c r="F256" s="79"/>
      <c r="G256" s="79"/>
      <c r="H256" s="90"/>
      <c r="I256" s="90"/>
      <c r="J256" s="90"/>
      <c r="K256" s="91"/>
      <c r="L256" s="60" t="e">
        <f>CONCATENATE(#REF!,F256)</f>
        <v>#REF!</v>
      </c>
      <c r="M256" s="60" t="str">
        <f t="shared" si="13"/>
        <v/>
      </c>
      <c r="N256" s="61" t="str">
        <f t="shared" si="15"/>
        <v>-</v>
      </c>
      <c r="O256" s="61"/>
      <c r="P256" s="61"/>
      <c r="Q256" s="61"/>
      <c r="R256" s="61"/>
      <c r="S256" s="61"/>
      <c r="T256" s="61"/>
    </row>
    <row r="257" spans="1:76" s="73" customFormat="1" ht="35.1" customHeight="1">
      <c r="A257" s="66" t="s">
        <v>41</v>
      </c>
      <c r="B257" s="67"/>
      <c r="C257" s="68"/>
      <c r="D257" s="69"/>
      <c r="E257" s="69">
        <f>SUM(E237:E256)</f>
        <v>0</v>
      </c>
      <c r="F257" s="70"/>
      <c r="G257" s="70"/>
      <c r="H257" s="70"/>
      <c r="I257" s="70"/>
      <c r="J257" s="70"/>
      <c r="K257" s="71"/>
      <c r="L257" s="60" t="e">
        <f>CONCATENATE(#REF!,F257)</f>
        <v>#REF!</v>
      </c>
      <c r="M257" s="60" t="str">
        <f t="shared" si="13"/>
        <v/>
      </c>
      <c r="N257" s="61"/>
      <c r="O257" s="61"/>
      <c r="P257" s="61"/>
      <c r="Q257" s="61"/>
      <c r="R257" s="61"/>
      <c r="S257" s="61"/>
      <c r="T257" s="61"/>
      <c r="U257" s="72"/>
      <c r="V257" s="72"/>
      <c r="W257" s="72"/>
      <c r="X257" s="72"/>
      <c r="Y257" s="72"/>
      <c r="Z257" s="72"/>
      <c r="AA257" s="72"/>
      <c r="AB257" s="72"/>
      <c r="AC257" s="72"/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72"/>
      <c r="AT257" s="72"/>
      <c r="AU257" s="72"/>
      <c r="AV257" s="72"/>
      <c r="AW257" s="72"/>
      <c r="AX257" s="72"/>
      <c r="AY257" s="72"/>
      <c r="AZ257" s="72"/>
      <c r="BA257" s="72"/>
      <c r="BB257" s="72"/>
      <c r="BC257" s="72"/>
      <c r="BD257" s="72"/>
      <c r="BE257" s="72"/>
      <c r="BF257" s="72"/>
      <c r="BG257" s="72"/>
      <c r="BH257" s="72"/>
      <c r="BI257" s="72"/>
      <c r="BJ257" s="72"/>
      <c r="BK257" s="72"/>
      <c r="BL257" s="72"/>
      <c r="BM257" s="72"/>
      <c r="BN257" s="72"/>
      <c r="BO257" s="72"/>
      <c r="BP257" s="72"/>
      <c r="BQ257" s="72"/>
      <c r="BR257" s="72"/>
      <c r="BS257" s="72"/>
      <c r="BT257" s="72"/>
      <c r="BU257" s="72"/>
      <c r="BV257" s="72"/>
      <c r="BW257" s="72"/>
      <c r="BX257" s="72"/>
    </row>
  </sheetData>
  <mergeCells count="8">
    <mergeCell ref="C4:C5"/>
    <mergeCell ref="D4:D5"/>
    <mergeCell ref="E4:E5"/>
    <mergeCell ref="A1:K1"/>
    <mergeCell ref="F4:G4"/>
    <mergeCell ref="H4:J4"/>
    <mergeCell ref="K4:K5"/>
    <mergeCell ref="B4:B5"/>
  </mergeCells>
  <phoneticPr fontId="5" type="noConversion"/>
  <printOptions horizontalCentered="1" verticalCentered="1"/>
  <pageMargins left="0.27559055118110237" right="0.19685039370078741" top="0.74803149606299213" bottom="0.43307086614173229" header="0.39370078740157483" footer="0.19685039370078741"/>
  <pageSetup paperSize="9" scale="86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57"/>
  <sheetViews>
    <sheetView showGridLines="0" showZeros="0" view="pageBreakPreview" zoomScaleSheetLayoutView="100" workbookViewId="0">
      <selection activeCell="L10" sqref="L10"/>
    </sheetView>
  </sheetViews>
  <sheetFormatPr defaultRowHeight="11.25"/>
  <cols>
    <col min="1" max="1" width="3.33203125" style="50" customWidth="1"/>
    <col min="2" max="3" width="5.77734375" style="50" customWidth="1"/>
    <col min="4" max="5" width="3.6640625" style="50" customWidth="1"/>
    <col min="6" max="8" width="6.77734375" style="50" customWidth="1"/>
    <col min="9" max="9" width="6.77734375" style="74" customWidth="1"/>
    <col min="10" max="10" width="5.77734375" style="74" customWidth="1"/>
    <col min="11" max="11" width="5.77734375" style="50" customWidth="1"/>
    <col min="12" max="12" width="12.77734375" style="50" customWidth="1"/>
    <col min="13" max="13" width="6.33203125" style="50" customWidth="1"/>
    <col min="14" max="14" width="9.77734375" style="50" customWidth="1"/>
    <col min="15" max="15" width="6.77734375" style="50" customWidth="1"/>
    <col min="16" max="16" width="3.33203125" style="50" customWidth="1"/>
    <col min="17" max="18" width="8" style="75" customWidth="1"/>
    <col min="19" max="24" width="9.77734375" style="50" customWidth="1"/>
    <col min="25" max="25" width="10.77734375" style="50" customWidth="1"/>
    <col min="26" max="16384" width="8.88671875" style="50"/>
  </cols>
  <sheetData>
    <row r="1" spans="1:25" s="45" customFormat="1" ht="30" customHeight="1">
      <c r="A1" s="404" t="s">
        <v>47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</row>
    <row r="2" spans="1:25" ht="20.100000000000001" customHeight="1">
      <c r="A2" s="46"/>
      <c r="B2" s="46"/>
      <c r="C2" s="46"/>
      <c r="D2" s="46"/>
      <c r="E2" s="46"/>
      <c r="F2" s="46"/>
      <c r="G2" s="46"/>
      <c r="H2" s="46"/>
      <c r="I2" s="47"/>
      <c r="J2" s="47"/>
      <c r="K2" s="46"/>
      <c r="L2" s="46"/>
      <c r="N2" s="106">
        <v>4</v>
      </c>
      <c r="O2" s="48"/>
      <c r="P2" s="48"/>
      <c r="Q2" s="49"/>
      <c r="R2" s="49"/>
      <c r="S2" s="46"/>
      <c r="T2" s="46"/>
      <c r="U2" s="46"/>
      <c r="V2" s="46"/>
      <c r="W2" s="46"/>
      <c r="X2" s="46"/>
      <c r="Y2" s="46"/>
    </row>
    <row r="3" spans="1:25" ht="10.35" customHeight="1">
      <c r="A3" s="46"/>
      <c r="B3" s="46"/>
      <c r="C3" s="46"/>
      <c r="D3" s="46"/>
      <c r="E3" s="46"/>
      <c r="F3" s="46"/>
      <c r="G3" s="46"/>
      <c r="H3" s="46"/>
      <c r="I3" s="47"/>
      <c r="J3" s="47"/>
      <c r="K3" s="46"/>
      <c r="L3" s="46"/>
      <c r="M3" s="46"/>
      <c r="N3" s="46"/>
      <c r="O3" s="46"/>
      <c r="P3" s="46"/>
      <c r="Q3" s="51"/>
      <c r="R3" s="51"/>
      <c r="S3" s="46"/>
      <c r="T3" s="46"/>
      <c r="U3" s="46"/>
      <c r="V3" s="46"/>
      <c r="W3" s="46"/>
      <c r="X3" s="46"/>
      <c r="Y3" s="46"/>
    </row>
    <row r="4" spans="1:25" s="54" customFormat="1" ht="27" customHeight="1">
      <c r="A4" s="97" t="s">
        <v>33</v>
      </c>
      <c r="B4" s="449" t="s">
        <v>34</v>
      </c>
      <c r="C4" s="450"/>
      <c r="D4" s="451" t="s">
        <v>35</v>
      </c>
      <c r="E4" s="452"/>
      <c r="F4" s="453" t="s">
        <v>49</v>
      </c>
      <c r="G4" s="454"/>
      <c r="H4" s="453" t="s">
        <v>50</v>
      </c>
      <c r="I4" s="454"/>
      <c r="J4" s="439" t="s">
        <v>51</v>
      </c>
      <c r="K4" s="442" t="s">
        <v>36</v>
      </c>
      <c r="L4" s="443"/>
      <c r="M4" s="442" t="s">
        <v>37</v>
      </c>
      <c r="N4" s="444"/>
      <c r="O4" s="443"/>
      <c r="P4" s="445" t="s">
        <v>27</v>
      </c>
      <c r="Q4" s="52"/>
      <c r="R4" s="52"/>
      <c r="S4" s="53"/>
      <c r="T4" s="53"/>
      <c r="U4" s="53"/>
      <c r="V4" s="53"/>
      <c r="W4" s="53"/>
      <c r="X4" s="53"/>
      <c r="Y4" s="53"/>
    </row>
    <row r="5" spans="1:25" s="54" customFormat="1" ht="27" customHeight="1">
      <c r="A5" s="98" t="s">
        <v>38</v>
      </c>
      <c r="B5" s="99" t="s">
        <v>46</v>
      </c>
      <c r="C5" s="100" t="s">
        <v>44</v>
      </c>
      <c r="D5" s="101" t="s">
        <v>46</v>
      </c>
      <c r="E5" s="101" t="s">
        <v>44</v>
      </c>
      <c r="F5" s="102" t="s">
        <v>52</v>
      </c>
      <c r="G5" s="102" t="s">
        <v>53</v>
      </c>
      <c r="H5" s="102" t="s">
        <v>52</v>
      </c>
      <c r="I5" s="102" t="s">
        <v>53</v>
      </c>
      <c r="J5" s="455"/>
      <c r="K5" s="103" t="s">
        <v>39</v>
      </c>
      <c r="L5" s="104" t="s">
        <v>40</v>
      </c>
      <c r="M5" s="103" t="s">
        <v>39</v>
      </c>
      <c r="N5" s="103" t="s">
        <v>40</v>
      </c>
      <c r="O5" s="104" t="s">
        <v>54</v>
      </c>
      <c r="P5" s="446"/>
      <c r="Q5" s="55"/>
      <c r="R5" s="55"/>
      <c r="S5" s="56"/>
      <c r="T5" s="56"/>
      <c r="U5" s="56"/>
      <c r="V5" s="56"/>
      <c r="W5" s="56"/>
      <c r="X5" s="56"/>
      <c r="Y5" s="57"/>
    </row>
    <row r="6" spans="1:25" s="62" customFormat="1" ht="35.1" customHeight="1">
      <c r="A6" s="87"/>
      <c r="B6" s="82"/>
      <c r="C6" s="82"/>
      <c r="D6" s="80"/>
      <c r="E6" s="80"/>
      <c r="F6" s="80"/>
      <c r="G6" s="59"/>
      <c r="H6" s="19"/>
      <c r="I6" s="59"/>
      <c r="J6" s="19">
        <f>I6-H6</f>
        <v>0</v>
      </c>
      <c r="K6" s="80"/>
      <c r="L6" s="80"/>
      <c r="M6" s="43"/>
      <c r="N6" s="43"/>
      <c r="O6" s="43"/>
      <c r="P6" s="16"/>
      <c r="Q6" s="60" t="str">
        <f>CONCATENATE(D6,K6)</f>
        <v/>
      </c>
      <c r="R6" s="60" t="str">
        <f>CONCATENATE(E6,K6)</f>
        <v/>
      </c>
      <c r="S6" s="61" t="str">
        <f>IF(G6&gt;=I6,"-","err")</f>
        <v>-</v>
      </c>
      <c r="T6" s="61"/>
      <c r="U6" s="61"/>
      <c r="V6" s="61"/>
      <c r="W6" s="61"/>
      <c r="X6" s="61"/>
      <c r="Y6" s="61"/>
    </row>
    <row r="7" spans="1:25" s="62" customFormat="1" ht="35.1" customHeight="1">
      <c r="A7" s="88"/>
      <c r="B7" s="83"/>
      <c r="C7" s="83"/>
      <c r="D7" s="65"/>
      <c r="E7" s="65"/>
      <c r="F7" s="65"/>
      <c r="G7" s="65"/>
      <c r="H7" s="18"/>
      <c r="I7" s="65"/>
      <c r="J7" s="18">
        <f>I7-H7</f>
        <v>0</v>
      </c>
      <c r="K7" s="65"/>
      <c r="L7" s="65"/>
      <c r="M7" s="44"/>
      <c r="N7" s="44">
        <v>0</v>
      </c>
      <c r="O7" s="44">
        <v>0</v>
      </c>
      <c r="P7" s="17"/>
      <c r="Q7" s="60" t="str">
        <f t="shared" ref="Q7:Q26" si="0">CONCATENATE(D7,K7)</f>
        <v/>
      </c>
      <c r="R7" s="60" t="str">
        <f t="shared" ref="R7:R26" si="1">CONCATENATE(E7,K7)</f>
        <v/>
      </c>
      <c r="S7" s="61" t="str">
        <f t="shared" ref="S7:S25" si="2">IF(G7&gt;=I7,"-","err")</f>
        <v>-</v>
      </c>
      <c r="T7" s="61"/>
      <c r="U7" s="61"/>
      <c r="V7" s="61"/>
      <c r="W7" s="61"/>
      <c r="X7" s="61"/>
      <c r="Y7" s="61"/>
    </row>
    <row r="8" spans="1:25" s="62" customFormat="1" ht="35.1" customHeight="1">
      <c r="A8" s="88"/>
      <c r="B8" s="86"/>
      <c r="C8" s="86"/>
      <c r="D8" s="65"/>
      <c r="E8" s="65"/>
      <c r="F8" s="65"/>
      <c r="G8" s="65"/>
      <c r="H8" s="18"/>
      <c r="I8" s="65"/>
      <c r="J8" s="18">
        <f>I8-H8</f>
        <v>0</v>
      </c>
      <c r="K8" s="65"/>
      <c r="L8" s="65"/>
      <c r="M8" s="44"/>
      <c r="N8" s="44">
        <v>0</v>
      </c>
      <c r="O8" s="44">
        <v>0</v>
      </c>
      <c r="P8" s="17"/>
      <c r="Q8" s="60" t="str">
        <f t="shared" si="0"/>
        <v/>
      </c>
      <c r="R8" s="60" t="str">
        <f t="shared" si="1"/>
        <v/>
      </c>
      <c r="S8" s="61" t="str">
        <f t="shared" si="2"/>
        <v>-</v>
      </c>
      <c r="T8" s="61"/>
      <c r="U8" s="61"/>
      <c r="V8" s="61"/>
      <c r="W8" s="61"/>
      <c r="X8" s="61"/>
      <c r="Y8" s="61"/>
    </row>
    <row r="9" spans="1:25" s="62" customFormat="1" ht="35.1" customHeight="1">
      <c r="A9" s="88"/>
      <c r="B9" s="86"/>
      <c r="C9" s="86"/>
      <c r="D9" s="65"/>
      <c r="E9" s="65"/>
      <c r="F9" s="65"/>
      <c r="G9" s="65"/>
      <c r="H9" s="18"/>
      <c r="I9" s="65"/>
      <c r="J9" s="18">
        <f>I9-H9</f>
        <v>0</v>
      </c>
      <c r="K9" s="65"/>
      <c r="L9" s="65"/>
      <c r="M9" s="44"/>
      <c r="N9" s="44">
        <v>0</v>
      </c>
      <c r="O9" s="44">
        <v>0</v>
      </c>
      <c r="P9" s="17"/>
      <c r="Q9" s="60" t="str">
        <f t="shared" si="0"/>
        <v/>
      </c>
      <c r="R9" s="60" t="str">
        <f t="shared" si="1"/>
        <v/>
      </c>
      <c r="S9" s="61" t="str">
        <f t="shared" si="2"/>
        <v>-</v>
      </c>
      <c r="T9" s="61"/>
      <c r="U9" s="61"/>
      <c r="V9" s="61"/>
      <c r="W9" s="61"/>
      <c r="X9" s="61"/>
      <c r="Y9" s="61"/>
    </row>
    <row r="10" spans="1:25" s="62" customFormat="1" ht="35.1" customHeight="1">
      <c r="A10" s="88"/>
      <c r="B10" s="86"/>
      <c r="C10" s="86"/>
      <c r="D10" s="65"/>
      <c r="E10" s="65"/>
      <c r="F10" s="65"/>
      <c r="G10" s="65"/>
      <c r="H10" s="18"/>
      <c r="I10" s="65"/>
      <c r="J10" s="18">
        <f>I10-H10</f>
        <v>0</v>
      </c>
      <c r="K10" s="65"/>
      <c r="L10" s="65"/>
      <c r="M10" s="44"/>
      <c r="N10" s="44">
        <v>0</v>
      </c>
      <c r="O10" s="44">
        <v>0</v>
      </c>
      <c r="P10" s="17"/>
      <c r="Q10" s="60" t="str">
        <f t="shared" si="0"/>
        <v/>
      </c>
      <c r="R10" s="60" t="str">
        <f t="shared" si="1"/>
        <v/>
      </c>
      <c r="S10" s="61" t="str">
        <f t="shared" si="2"/>
        <v>-</v>
      </c>
      <c r="T10" s="61"/>
      <c r="U10" s="61"/>
      <c r="V10" s="61"/>
      <c r="W10" s="61"/>
      <c r="X10" s="61"/>
      <c r="Y10" s="61"/>
    </row>
    <row r="11" spans="1:25" s="62" customFormat="1" ht="35.1" customHeight="1">
      <c r="A11" s="63"/>
      <c r="B11" s="83"/>
      <c r="C11" s="83"/>
      <c r="D11" s="65"/>
      <c r="E11" s="65"/>
      <c r="F11" s="65"/>
      <c r="G11" s="65"/>
      <c r="H11" s="76"/>
      <c r="I11" s="65"/>
      <c r="J11" s="18"/>
      <c r="K11" s="65"/>
      <c r="L11" s="65"/>
      <c r="M11" s="44"/>
      <c r="N11" s="44">
        <v>0</v>
      </c>
      <c r="O11" s="44">
        <v>0</v>
      </c>
      <c r="P11" s="17"/>
      <c r="Q11" s="60" t="str">
        <f t="shared" si="0"/>
        <v/>
      </c>
      <c r="R11" s="60" t="str">
        <f t="shared" si="1"/>
        <v/>
      </c>
      <c r="S11" s="61" t="str">
        <f t="shared" si="2"/>
        <v>-</v>
      </c>
      <c r="T11" s="61"/>
      <c r="U11" s="61"/>
      <c r="V11" s="61"/>
      <c r="W11" s="61"/>
      <c r="X11" s="61"/>
      <c r="Y11" s="61"/>
    </row>
    <row r="12" spans="1:25" s="62" customFormat="1" ht="35.1" customHeight="1">
      <c r="A12" s="63"/>
      <c r="B12" s="83"/>
      <c r="C12" s="83"/>
      <c r="D12" s="81"/>
      <c r="E12" s="81"/>
      <c r="F12" s="81"/>
      <c r="G12" s="65"/>
      <c r="H12" s="85"/>
      <c r="I12" s="65"/>
      <c r="J12" s="18"/>
      <c r="K12" s="81"/>
      <c r="L12" s="81"/>
      <c r="M12" s="44"/>
      <c r="N12" s="44"/>
      <c r="O12" s="44"/>
      <c r="P12" s="17"/>
      <c r="Q12" s="60" t="str">
        <f t="shared" si="0"/>
        <v/>
      </c>
      <c r="R12" s="60" t="str">
        <f t="shared" si="1"/>
        <v/>
      </c>
      <c r="S12" s="61" t="str">
        <f t="shared" si="2"/>
        <v>-</v>
      </c>
      <c r="T12" s="61"/>
      <c r="U12" s="61"/>
      <c r="V12" s="61"/>
      <c r="W12" s="61"/>
      <c r="X12" s="61"/>
      <c r="Y12" s="61"/>
    </row>
    <row r="13" spans="1:25" s="62" customFormat="1" ht="35.1" customHeight="1">
      <c r="A13" s="63"/>
      <c r="B13" s="83"/>
      <c r="C13" s="83"/>
      <c r="D13" s="81"/>
      <c r="E13" s="81"/>
      <c r="F13" s="81"/>
      <c r="G13" s="65"/>
      <c r="H13" s="85"/>
      <c r="I13" s="65"/>
      <c r="J13" s="18"/>
      <c r="K13" s="81"/>
      <c r="L13" s="81"/>
      <c r="M13" s="44"/>
      <c r="N13" s="44">
        <v>0</v>
      </c>
      <c r="O13" s="44">
        <v>0</v>
      </c>
      <c r="P13" s="17"/>
      <c r="Q13" s="60" t="str">
        <f t="shared" si="0"/>
        <v/>
      </c>
      <c r="R13" s="60" t="str">
        <f t="shared" si="1"/>
        <v/>
      </c>
      <c r="S13" s="61" t="str">
        <f t="shared" si="2"/>
        <v>-</v>
      </c>
      <c r="T13" s="61"/>
      <c r="U13" s="61"/>
      <c r="V13" s="61"/>
      <c r="W13" s="61"/>
      <c r="X13" s="61"/>
      <c r="Y13" s="61"/>
    </row>
    <row r="14" spans="1:25" s="62" customFormat="1" ht="35.1" customHeight="1">
      <c r="A14" s="63"/>
      <c r="B14" s="83"/>
      <c r="C14" s="83"/>
      <c r="D14" s="81"/>
      <c r="E14" s="81"/>
      <c r="F14" s="81"/>
      <c r="G14" s="65"/>
      <c r="H14" s="85"/>
      <c r="I14" s="65"/>
      <c r="J14" s="18"/>
      <c r="K14" s="81"/>
      <c r="L14" s="81"/>
      <c r="M14" s="44">
        <v>0</v>
      </c>
      <c r="N14" s="44">
        <v>0</v>
      </c>
      <c r="O14" s="44">
        <v>0</v>
      </c>
      <c r="P14" s="17"/>
      <c r="Q14" s="60" t="str">
        <f t="shared" si="0"/>
        <v/>
      </c>
      <c r="R14" s="60" t="str">
        <f t="shared" si="1"/>
        <v/>
      </c>
      <c r="S14" s="61" t="str">
        <f t="shared" si="2"/>
        <v>-</v>
      </c>
      <c r="T14" s="61"/>
      <c r="U14" s="61"/>
      <c r="V14" s="61"/>
      <c r="W14" s="61"/>
      <c r="X14" s="61"/>
      <c r="Y14" s="61"/>
    </row>
    <row r="15" spans="1:25" s="62" customFormat="1" ht="35.1" customHeight="1">
      <c r="A15" s="63"/>
      <c r="B15" s="83"/>
      <c r="C15" s="83"/>
      <c r="D15" s="81"/>
      <c r="E15" s="81"/>
      <c r="F15" s="81"/>
      <c r="G15" s="65"/>
      <c r="H15" s="85"/>
      <c r="I15" s="65"/>
      <c r="J15" s="18"/>
      <c r="K15" s="81"/>
      <c r="L15" s="81"/>
      <c r="M15" s="44">
        <v>0</v>
      </c>
      <c r="N15" s="44">
        <v>0</v>
      </c>
      <c r="O15" s="44">
        <v>0</v>
      </c>
      <c r="P15" s="17"/>
      <c r="Q15" s="60" t="str">
        <f t="shared" si="0"/>
        <v/>
      </c>
      <c r="R15" s="60" t="str">
        <f t="shared" si="1"/>
        <v/>
      </c>
      <c r="S15" s="61" t="str">
        <f t="shared" si="2"/>
        <v>-</v>
      </c>
      <c r="T15" s="61"/>
      <c r="U15" s="61"/>
      <c r="V15" s="61"/>
      <c r="W15" s="61"/>
      <c r="X15" s="61"/>
      <c r="Y15" s="61"/>
    </row>
    <row r="16" spans="1:25" s="62" customFormat="1" ht="35.1" customHeight="1">
      <c r="A16" s="63"/>
      <c r="B16" s="83"/>
      <c r="C16" s="83"/>
      <c r="D16" s="81"/>
      <c r="E16" s="81"/>
      <c r="F16" s="81"/>
      <c r="G16" s="65"/>
      <c r="H16" s="85"/>
      <c r="I16" s="65"/>
      <c r="J16" s="18"/>
      <c r="K16" s="81"/>
      <c r="L16" s="81"/>
      <c r="M16" s="44">
        <v>0</v>
      </c>
      <c r="N16" s="44">
        <v>0</v>
      </c>
      <c r="O16" s="44">
        <v>0</v>
      </c>
      <c r="P16" s="17"/>
      <c r="Q16" s="60" t="str">
        <f t="shared" si="0"/>
        <v/>
      </c>
      <c r="R16" s="60" t="str">
        <f t="shared" si="1"/>
        <v/>
      </c>
      <c r="S16" s="61" t="str">
        <f t="shared" si="2"/>
        <v>-</v>
      </c>
      <c r="T16" s="61"/>
      <c r="U16" s="61"/>
      <c r="V16" s="61"/>
      <c r="W16" s="61"/>
      <c r="X16" s="61"/>
      <c r="Y16" s="61"/>
    </row>
    <row r="17" spans="1:81" s="62" customFormat="1" ht="35.1" customHeight="1">
      <c r="A17" s="63"/>
      <c r="B17" s="64"/>
      <c r="C17" s="64"/>
      <c r="D17" s="65"/>
      <c r="E17" s="65"/>
      <c r="F17" s="65"/>
      <c r="G17" s="65"/>
      <c r="H17" s="65"/>
      <c r="I17" s="65"/>
      <c r="J17" s="18"/>
      <c r="K17" s="65"/>
      <c r="L17" s="65"/>
      <c r="M17" s="44"/>
      <c r="N17" s="44"/>
      <c r="O17" s="44"/>
      <c r="P17" s="17"/>
      <c r="Q17" s="60" t="str">
        <f t="shared" si="0"/>
        <v/>
      </c>
      <c r="R17" s="60" t="str">
        <f t="shared" si="1"/>
        <v/>
      </c>
      <c r="S17" s="61" t="str">
        <f t="shared" si="2"/>
        <v>-</v>
      </c>
      <c r="T17" s="61"/>
      <c r="U17" s="61"/>
      <c r="V17" s="61"/>
      <c r="W17" s="61"/>
      <c r="X17" s="61"/>
      <c r="Y17" s="61"/>
    </row>
    <row r="18" spans="1:81" s="62" customFormat="1" ht="35.1" customHeight="1">
      <c r="A18" s="63"/>
      <c r="B18" s="64"/>
      <c r="C18" s="64"/>
      <c r="D18" s="65"/>
      <c r="E18" s="65"/>
      <c r="F18" s="65"/>
      <c r="G18" s="65"/>
      <c r="H18" s="65"/>
      <c r="I18" s="65"/>
      <c r="J18" s="18"/>
      <c r="K18" s="65"/>
      <c r="L18" s="65"/>
      <c r="M18" s="44"/>
      <c r="N18" s="44"/>
      <c r="O18" s="44"/>
      <c r="P18" s="17"/>
      <c r="Q18" s="60" t="str">
        <f t="shared" si="0"/>
        <v/>
      </c>
      <c r="R18" s="60" t="str">
        <f t="shared" si="1"/>
        <v/>
      </c>
      <c r="S18" s="61" t="str">
        <f t="shared" si="2"/>
        <v>-</v>
      </c>
      <c r="T18" s="61"/>
      <c r="U18" s="61"/>
      <c r="V18" s="61"/>
      <c r="W18" s="61"/>
      <c r="X18" s="61"/>
      <c r="Y18" s="61"/>
    </row>
    <row r="19" spans="1:81" s="62" customFormat="1" ht="35.1" customHeight="1">
      <c r="A19" s="63"/>
      <c r="B19" s="64"/>
      <c r="C19" s="64"/>
      <c r="D19" s="65"/>
      <c r="E19" s="65"/>
      <c r="F19" s="65"/>
      <c r="G19" s="65"/>
      <c r="H19" s="65"/>
      <c r="I19" s="65"/>
      <c r="J19" s="18"/>
      <c r="K19" s="65"/>
      <c r="L19" s="65"/>
      <c r="M19" s="44"/>
      <c r="N19" s="44"/>
      <c r="O19" s="44"/>
      <c r="P19" s="17"/>
      <c r="Q19" s="60" t="str">
        <f t="shared" si="0"/>
        <v/>
      </c>
      <c r="R19" s="60" t="str">
        <f t="shared" si="1"/>
        <v/>
      </c>
      <c r="S19" s="61" t="str">
        <f t="shared" si="2"/>
        <v>-</v>
      </c>
      <c r="T19" s="61"/>
      <c r="U19" s="61"/>
      <c r="V19" s="61"/>
      <c r="W19" s="61"/>
      <c r="X19" s="61"/>
      <c r="Y19" s="61"/>
    </row>
    <row r="20" spans="1:81" s="62" customFormat="1" ht="35.1" customHeight="1">
      <c r="A20" s="63"/>
      <c r="B20" s="64"/>
      <c r="C20" s="64"/>
      <c r="D20" s="65"/>
      <c r="E20" s="65"/>
      <c r="F20" s="65"/>
      <c r="G20" s="65"/>
      <c r="H20" s="65"/>
      <c r="I20" s="65"/>
      <c r="J20" s="18"/>
      <c r="K20" s="65"/>
      <c r="L20" s="65"/>
      <c r="M20" s="44"/>
      <c r="N20" s="44"/>
      <c r="O20" s="44"/>
      <c r="P20" s="17"/>
      <c r="Q20" s="60" t="str">
        <f t="shared" si="0"/>
        <v/>
      </c>
      <c r="R20" s="60" t="str">
        <f t="shared" si="1"/>
        <v/>
      </c>
      <c r="S20" s="61" t="str">
        <f t="shared" si="2"/>
        <v>-</v>
      </c>
      <c r="T20" s="61"/>
      <c r="U20" s="61"/>
      <c r="V20" s="61"/>
      <c r="W20" s="61"/>
      <c r="X20" s="61"/>
      <c r="Y20" s="61"/>
    </row>
    <row r="21" spans="1:81" s="62" customFormat="1" ht="35.1" customHeight="1">
      <c r="A21" s="63"/>
      <c r="B21" s="64"/>
      <c r="C21" s="64"/>
      <c r="D21" s="65"/>
      <c r="E21" s="65"/>
      <c r="F21" s="65"/>
      <c r="G21" s="65"/>
      <c r="H21" s="65"/>
      <c r="I21" s="65"/>
      <c r="J21" s="18"/>
      <c r="K21" s="65"/>
      <c r="L21" s="65"/>
      <c r="M21" s="44"/>
      <c r="N21" s="44"/>
      <c r="O21" s="44"/>
      <c r="P21" s="17"/>
      <c r="Q21" s="60" t="str">
        <f t="shared" si="0"/>
        <v/>
      </c>
      <c r="R21" s="60" t="str">
        <f t="shared" si="1"/>
        <v/>
      </c>
      <c r="S21" s="61" t="str">
        <f t="shared" si="2"/>
        <v>-</v>
      </c>
      <c r="T21" s="61"/>
      <c r="U21" s="61"/>
      <c r="V21" s="61"/>
      <c r="W21" s="61"/>
      <c r="X21" s="61"/>
      <c r="Y21" s="61"/>
    </row>
    <row r="22" spans="1:81" s="62" customFormat="1" ht="35.1" customHeight="1">
      <c r="A22" s="63"/>
      <c r="B22" s="64"/>
      <c r="C22" s="64"/>
      <c r="D22" s="65"/>
      <c r="E22" s="65"/>
      <c r="F22" s="65"/>
      <c r="G22" s="65"/>
      <c r="H22" s="65"/>
      <c r="I22" s="65"/>
      <c r="J22" s="18"/>
      <c r="K22" s="65"/>
      <c r="L22" s="65"/>
      <c r="M22" s="44"/>
      <c r="N22" s="44"/>
      <c r="O22" s="44"/>
      <c r="P22" s="17"/>
      <c r="Q22" s="60" t="str">
        <f t="shared" si="0"/>
        <v/>
      </c>
      <c r="R22" s="60" t="str">
        <f t="shared" si="1"/>
        <v/>
      </c>
      <c r="S22" s="61" t="str">
        <f t="shared" si="2"/>
        <v>-</v>
      </c>
      <c r="T22" s="61"/>
      <c r="U22" s="61"/>
      <c r="V22" s="61"/>
      <c r="W22" s="61"/>
      <c r="X22" s="61"/>
      <c r="Y22" s="61"/>
    </row>
    <row r="23" spans="1:81" s="62" customFormat="1" ht="35.1" customHeight="1">
      <c r="A23" s="63"/>
      <c r="B23" s="64"/>
      <c r="C23" s="64"/>
      <c r="D23" s="65"/>
      <c r="E23" s="65"/>
      <c r="F23" s="65"/>
      <c r="G23" s="65"/>
      <c r="H23" s="65"/>
      <c r="I23" s="65"/>
      <c r="J23" s="18"/>
      <c r="K23" s="65"/>
      <c r="L23" s="65"/>
      <c r="M23" s="44"/>
      <c r="N23" s="44"/>
      <c r="O23" s="44"/>
      <c r="P23" s="17"/>
      <c r="Q23" s="60" t="str">
        <f t="shared" si="0"/>
        <v/>
      </c>
      <c r="R23" s="60" t="str">
        <f t="shared" si="1"/>
        <v/>
      </c>
      <c r="S23" s="61" t="str">
        <f t="shared" si="2"/>
        <v>-</v>
      </c>
      <c r="T23" s="61"/>
      <c r="U23" s="61"/>
      <c r="V23" s="61"/>
      <c r="W23" s="61"/>
      <c r="X23" s="61"/>
      <c r="Y23" s="61"/>
    </row>
    <row r="24" spans="1:81" s="62" customFormat="1" ht="35.1" customHeight="1">
      <c r="A24" s="63"/>
      <c r="B24" s="64"/>
      <c r="C24" s="64"/>
      <c r="D24" s="65"/>
      <c r="E24" s="65"/>
      <c r="F24" s="65"/>
      <c r="G24" s="65"/>
      <c r="H24" s="65"/>
      <c r="I24" s="65"/>
      <c r="J24" s="18"/>
      <c r="K24" s="65"/>
      <c r="L24" s="65"/>
      <c r="M24" s="44"/>
      <c r="N24" s="44"/>
      <c r="O24" s="44"/>
      <c r="P24" s="17"/>
      <c r="Q24" s="60" t="str">
        <f t="shared" si="0"/>
        <v/>
      </c>
      <c r="R24" s="60" t="str">
        <f t="shared" si="1"/>
        <v/>
      </c>
      <c r="S24" s="61" t="str">
        <f t="shared" si="2"/>
        <v>-</v>
      </c>
      <c r="T24" s="61"/>
      <c r="U24" s="61"/>
      <c r="V24" s="61"/>
      <c r="W24" s="61"/>
      <c r="X24" s="61"/>
      <c r="Y24" s="61"/>
    </row>
    <row r="25" spans="1:81" s="62" customFormat="1" ht="35.1" customHeight="1">
      <c r="A25" s="77"/>
      <c r="B25" s="78"/>
      <c r="C25" s="78"/>
      <c r="D25" s="79"/>
      <c r="E25" s="79"/>
      <c r="F25" s="79"/>
      <c r="G25" s="79"/>
      <c r="H25" s="79"/>
      <c r="I25" s="79"/>
      <c r="J25" s="42"/>
      <c r="K25" s="79"/>
      <c r="L25" s="79"/>
      <c r="M25" s="90"/>
      <c r="N25" s="90"/>
      <c r="O25" s="90"/>
      <c r="P25" s="91"/>
      <c r="Q25" s="60" t="str">
        <f t="shared" si="0"/>
        <v/>
      </c>
      <c r="R25" s="60" t="str">
        <f t="shared" si="1"/>
        <v/>
      </c>
      <c r="S25" s="61" t="str">
        <f t="shared" si="2"/>
        <v>-</v>
      </c>
      <c r="T25" s="61"/>
      <c r="U25" s="61"/>
      <c r="V25" s="61"/>
      <c r="W25" s="61"/>
      <c r="X25" s="61"/>
      <c r="Y25" s="61"/>
    </row>
    <row r="26" spans="1:81" s="73" customFormat="1" ht="35.1" customHeight="1">
      <c r="A26" s="66" t="s">
        <v>41</v>
      </c>
      <c r="B26" s="67"/>
      <c r="C26" s="67"/>
      <c r="D26" s="68"/>
      <c r="E26" s="68"/>
      <c r="F26" s="68"/>
      <c r="G26" s="69"/>
      <c r="H26" s="69">
        <f>SUM(H6:H25)</f>
        <v>0</v>
      </c>
      <c r="I26" s="69">
        <f>SUM(I6:I25)</f>
        <v>0</v>
      </c>
      <c r="J26" s="69">
        <f>SUM(J6:J25)</f>
        <v>0</v>
      </c>
      <c r="K26" s="70"/>
      <c r="L26" s="70"/>
      <c r="M26" s="70"/>
      <c r="N26" s="70"/>
      <c r="O26" s="70"/>
      <c r="P26" s="71"/>
      <c r="Q26" s="60" t="str">
        <f t="shared" si="0"/>
        <v/>
      </c>
      <c r="R26" s="60" t="str">
        <f t="shared" si="1"/>
        <v/>
      </c>
      <c r="S26" s="61"/>
      <c r="T26" s="61"/>
      <c r="U26" s="61"/>
      <c r="V26" s="61"/>
      <c r="W26" s="61"/>
      <c r="X26" s="61"/>
      <c r="Y26" s="61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</row>
    <row r="27" spans="1:81" s="62" customFormat="1" ht="35.1" customHeight="1">
      <c r="A27" s="87"/>
      <c r="B27" s="82"/>
      <c r="C27" s="82"/>
      <c r="D27" s="80"/>
      <c r="E27" s="80"/>
      <c r="F27" s="80"/>
      <c r="G27" s="59"/>
      <c r="H27" s="19"/>
      <c r="I27" s="59"/>
      <c r="J27" s="19">
        <f>I27-H27</f>
        <v>0</v>
      </c>
      <c r="K27" s="80"/>
      <c r="L27" s="80"/>
      <c r="M27" s="43"/>
      <c r="N27" s="43"/>
      <c r="O27" s="43"/>
      <c r="P27" s="16"/>
      <c r="Q27" s="60" t="str">
        <f>CONCATENATE(D27,K27)</f>
        <v/>
      </c>
      <c r="R27" s="60" t="str">
        <f>CONCATENATE(E27,K27)</f>
        <v/>
      </c>
      <c r="S27" s="61" t="str">
        <f>IF(G27&gt;=I27,"-","err")</f>
        <v>-</v>
      </c>
      <c r="T27" s="61"/>
      <c r="U27" s="61"/>
      <c r="V27" s="61"/>
      <c r="W27" s="61"/>
      <c r="X27" s="61"/>
      <c r="Y27" s="61"/>
    </row>
    <row r="28" spans="1:81" s="62" customFormat="1" ht="35.1" customHeight="1">
      <c r="A28" s="88"/>
      <c r="B28" s="83"/>
      <c r="C28" s="83"/>
      <c r="D28" s="65"/>
      <c r="E28" s="65"/>
      <c r="F28" s="65"/>
      <c r="G28" s="65"/>
      <c r="H28" s="18"/>
      <c r="I28" s="65"/>
      <c r="J28" s="18">
        <f>I28-H28</f>
        <v>0</v>
      </c>
      <c r="K28" s="65"/>
      <c r="L28" s="65"/>
      <c r="M28" s="44"/>
      <c r="N28" s="44">
        <v>0</v>
      </c>
      <c r="O28" s="44">
        <v>0</v>
      </c>
      <c r="P28" s="17"/>
      <c r="Q28" s="60" t="str">
        <f t="shared" ref="Q28:Q47" si="3">CONCATENATE(D28,K28)</f>
        <v/>
      </c>
      <c r="R28" s="60" t="str">
        <f t="shared" ref="R28:R47" si="4">CONCATENATE(E28,K28)</f>
        <v/>
      </c>
      <c r="S28" s="61" t="str">
        <f t="shared" ref="S28:S46" si="5">IF(G28&gt;=I28,"-","err")</f>
        <v>-</v>
      </c>
      <c r="T28" s="61"/>
      <c r="U28" s="61"/>
      <c r="V28" s="61"/>
      <c r="W28" s="61"/>
      <c r="X28" s="61"/>
      <c r="Y28" s="61"/>
    </row>
    <row r="29" spans="1:81" s="62" customFormat="1" ht="35.1" customHeight="1">
      <c r="A29" s="88"/>
      <c r="B29" s="86"/>
      <c r="C29" s="86"/>
      <c r="D29" s="65"/>
      <c r="E29" s="65"/>
      <c r="F29" s="65"/>
      <c r="G29" s="65"/>
      <c r="H29" s="18"/>
      <c r="I29" s="65"/>
      <c r="J29" s="18">
        <f>I29-H29</f>
        <v>0</v>
      </c>
      <c r="K29" s="65"/>
      <c r="L29" s="65"/>
      <c r="M29" s="44"/>
      <c r="N29" s="44">
        <v>0</v>
      </c>
      <c r="O29" s="44">
        <v>0</v>
      </c>
      <c r="P29" s="17"/>
      <c r="Q29" s="60" t="str">
        <f t="shared" si="3"/>
        <v/>
      </c>
      <c r="R29" s="60" t="str">
        <f t="shared" si="4"/>
        <v/>
      </c>
      <c r="S29" s="61" t="str">
        <f t="shared" si="5"/>
        <v>-</v>
      </c>
      <c r="T29" s="61"/>
      <c r="U29" s="61"/>
      <c r="V29" s="61"/>
      <c r="W29" s="61"/>
      <c r="X29" s="61"/>
      <c r="Y29" s="61"/>
    </row>
    <row r="30" spans="1:81" s="62" customFormat="1" ht="35.1" customHeight="1">
      <c r="A30" s="88"/>
      <c r="B30" s="86"/>
      <c r="C30" s="86"/>
      <c r="D30" s="65"/>
      <c r="E30" s="65"/>
      <c r="F30" s="65"/>
      <c r="G30" s="65"/>
      <c r="H30" s="18"/>
      <c r="I30" s="65"/>
      <c r="J30" s="18">
        <f>I30-H30</f>
        <v>0</v>
      </c>
      <c r="K30" s="65"/>
      <c r="L30" s="65"/>
      <c r="M30" s="44"/>
      <c r="N30" s="44">
        <v>0</v>
      </c>
      <c r="O30" s="44">
        <v>0</v>
      </c>
      <c r="P30" s="17"/>
      <c r="Q30" s="60" t="str">
        <f t="shared" si="3"/>
        <v/>
      </c>
      <c r="R30" s="60" t="str">
        <f t="shared" si="4"/>
        <v/>
      </c>
      <c r="S30" s="61" t="str">
        <f t="shared" si="5"/>
        <v>-</v>
      </c>
      <c r="T30" s="61"/>
      <c r="U30" s="61"/>
      <c r="V30" s="61"/>
      <c r="W30" s="61"/>
      <c r="X30" s="61"/>
      <c r="Y30" s="61"/>
    </row>
    <row r="31" spans="1:81" s="62" customFormat="1" ht="35.1" customHeight="1">
      <c r="A31" s="88"/>
      <c r="B31" s="86"/>
      <c r="C31" s="86"/>
      <c r="D31" s="65"/>
      <c r="E31" s="65"/>
      <c r="F31" s="65"/>
      <c r="G31" s="65"/>
      <c r="H31" s="18"/>
      <c r="I31" s="65"/>
      <c r="J31" s="18">
        <f>I31-H31</f>
        <v>0</v>
      </c>
      <c r="K31" s="65"/>
      <c r="L31" s="65"/>
      <c r="M31" s="44"/>
      <c r="N31" s="44">
        <v>0</v>
      </c>
      <c r="O31" s="44">
        <v>0</v>
      </c>
      <c r="P31" s="17"/>
      <c r="Q31" s="60" t="str">
        <f t="shared" si="3"/>
        <v/>
      </c>
      <c r="R31" s="60" t="str">
        <f t="shared" si="4"/>
        <v/>
      </c>
      <c r="S31" s="61" t="str">
        <f t="shared" si="5"/>
        <v>-</v>
      </c>
      <c r="T31" s="61"/>
      <c r="U31" s="61"/>
      <c r="V31" s="61"/>
      <c r="W31" s="61"/>
      <c r="X31" s="61"/>
      <c r="Y31" s="61"/>
    </row>
    <row r="32" spans="1:81" s="62" customFormat="1" ht="35.1" customHeight="1">
      <c r="A32" s="63"/>
      <c r="B32" s="83"/>
      <c r="C32" s="83"/>
      <c r="D32" s="65"/>
      <c r="E32" s="65"/>
      <c r="F32" s="65"/>
      <c r="G32" s="65"/>
      <c r="H32" s="76"/>
      <c r="I32" s="65"/>
      <c r="J32" s="18"/>
      <c r="K32" s="65"/>
      <c r="L32" s="65"/>
      <c r="M32" s="44"/>
      <c r="N32" s="44">
        <v>0</v>
      </c>
      <c r="O32" s="44">
        <v>0</v>
      </c>
      <c r="P32" s="17"/>
      <c r="Q32" s="60" t="str">
        <f t="shared" si="3"/>
        <v/>
      </c>
      <c r="R32" s="60" t="str">
        <f t="shared" si="4"/>
        <v/>
      </c>
      <c r="S32" s="61" t="str">
        <f t="shared" si="5"/>
        <v>-</v>
      </c>
      <c r="T32" s="61"/>
      <c r="U32" s="61"/>
      <c r="V32" s="61"/>
      <c r="W32" s="61"/>
      <c r="X32" s="61"/>
      <c r="Y32" s="61"/>
    </row>
    <row r="33" spans="1:81" s="62" customFormat="1" ht="35.1" customHeight="1">
      <c r="A33" s="63"/>
      <c r="B33" s="83"/>
      <c r="C33" s="83"/>
      <c r="D33" s="81"/>
      <c r="E33" s="81"/>
      <c r="F33" s="81"/>
      <c r="G33" s="65"/>
      <c r="H33" s="85"/>
      <c r="I33" s="65"/>
      <c r="J33" s="18"/>
      <c r="K33" s="81"/>
      <c r="L33" s="81"/>
      <c r="M33" s="44"/>
      <c r="N33" s="44"/>
      <c r="O33" s="44"/>
      <c r="P33" s="17"/>
      <c r="Q33" s="60" t="str">
        <f t="shared" si="3"/>
        <v/>
      </c>
      <c r="R33" s="60" t="str">
        <f t="shared" si="4"/>
        <v/>
      </c>
      <c r="S33" s="61" t="str">
        <f t="shared" si="5"/>
        <v>-</v>
      </c>
      <c r="T33" s="61"/>
      <c r="U33" s="61"/>
      <c r="V33" s="61"/>
      <c r="W33" s="61"/>
      <c r="X33" s="61"/>
      <c r="Y33" s="61"/>
    </row>
    <row r="34" spans="1:81" s="62" customFormat="1" ht="35.1" customHeight="1">
      <c r="A34" s="63"/>
      <c r="B34" s="83"/>
      <c r="C34" s="83"/>
      <c r="D34" s="81"/>
      <c r="E34" s="81"/>
      <c r="F34" s="81"/>
      <c r="G34" s="65"/>
      <c r="H34" s="85"/>
      <c r="I34" s="65"/>
      <c r="J34" s="18"/>
      <c r="K34" s="81"/>
      <c r="L34" s="81"/>
      <c r="M34" s="44"/>
      <c r="N34" s="44">
        <v>0</v>
      </c>
      <c r="O34" s="44">
        <v>0</v>
      </c>
      <c r="P34" s="17"/>
      <c r="Q34" s="60" t="str">
        <f t="shared" si="3"/>
        <v/>
      </c>
      <c r="R34" s="60" t="str">
        <f t="shared" si="4"/>
        <v/>
      </c>
      <c r="S34" s="61" t="str">
        <f t="shared" si="5"/>
        <v>-</v>
      </c>
      <c r="T34" s="61"/>
      <c r="U34" s="61"/>
      <c r="V34" s="61"/>
      <c r="W34" s="61"/>
      <c r="X34" s="61"/>
      <c r="Y34" s="61"/>
    </row>
    <row r="35" spans="1:81" s="62" customFormat="1" ht="35.1" customHeight="1">
      <c r="A35" s="63"/>
      <c r="B35" s="83"/>
      <c r="C35" s="83"/>
      <c r="D35" s="81"/>
      <c r="E35" s="81"/>
      <c r="F35" s="81"/>
      <c r="G35" s="65"/>
      <c r="H35" s="85"/>
      <c r="I35" s="65"/>
      <c r="J35" s="18"/>
      <c r="K35" s="81"/>
      <c r="L35" s="81"/>
      <c r="M35" s="44">
        <v>0</v>
      </c>
      <c r="N35" s="44">
        <v>0</v>
      </c>
      <c r="O35" s="44">
        <v>0</v>
      </c>
      <c r="P35" s="17"/>
      <c r="Q35" s="60" t="str">
        <f t="shared" si="3"/>
        <v/>
      </c>
      <c r="R35" s="60" t="str">
        <f t="shared" si="4"/>
        <v/>
      </c>
      <c r="S35" s="61" t="str">
        <f t="shared" si="5"/>
        <v>-</v>
      </c>
      <c r="T35" s="61"/>
      <c r="U35" s="61"/>
      <c r="V35" s="61"/>
      <c r="W35" s="61"/>
      <c r="X35" s="61"/>
      <c r="Y35" s="61"/>
    </row>
    <row r="36" spans="1:81" s="62" customFormat="1" ht="35.1" customHeight="1">
      <c r="A36" s="63"/>
      <c r="B36" s="83"/>
      <c r="C36" s="83"/>
      <c r="D36" s="81"/>
      <c r="E36" s="81"/>
      <c r="F36" s="81"/>
      <c r="G36" s="65"/>
      <c r="H36" s="85"/>
      <c r="I36" s="65"/>
      <c r="J36" s="18"/>
      <c r="K36" s="81"/>
      <c r="L36" s="81"/>
      <c r="M36" s="44">
        <v>0</v>
      </c>
      <c r="N36" s="44">
        <v>0</v>
      </c>
      <c r="O36" s="44">
        <v>0</v>
      </c>
      <c r="P36" s="17"/>
      <c r="Q36" s="60" t="str">
        <f t="shared" si="3"/>
        <v/>
      </c>
      <c r="R36" s="60" t="str">
        <f t="shared" si="4"/>
        <v/>
      </c>
      <c r="S36" s="61" t="str">
        <f t="shared" si="5"/>
        <v>-</v>
      </c>
      <c r="T36" s="61"/>
      <c r="U36" s="61"/>
      <c r="V36" s="61"/>
      <c r="W36" s="61"/>
      <c r="X36" s="61"/>
      <c r="Y36" s="61"/>
    </row>
    <row r="37" spans="1:81" s="62" customFormat="1" ht="35.1" customHeight="1">
      <c r="A37" s="63"/>
      <c r="B37" s="83"/>
      <c r="C37" s="83"/>
      <c r="D37" s="81"/>
      <c r="E37" s="81"/>
      <c r="F37" s="81"/>
      <c r="G37" s="65"/>
      <c r="H37" s="85"/>
      <c r="I37" s="65"/>
      <c r="J37" s="18"/>
      <c r="K37" s="81"/>
      <c r="L37" s="81"/>
      <c r="M37" s="44">
        <v>0</v>
      </c>
      <c r="N37" s="44">
        <v>0</v>
      </c>
      <c r="O37" s="44">
        <v>0</v>
      </c>
      <c r="P37" s="17"/>
      <c r="Q37" s="60" t="str">
        <f t="shared" si="3"/>
        <v/>
      </c>
      <c r="R37" s="60" t="str">
        <f t="shared" si="4"/>
        <v/>
      </c>
      <c r="S37" s="61" t="str">
        <f t="shared" si="5"/>
        <v>-</v>
      </c>
      <c r="T37" s="61"/>
      <c r="U37" s="61"/>
      <c r="V37" s="61"/>
      <c r="W37" s="61"/>
      <c r="X37" s="61"/>
      <c r="Y37" s="61"/>
    </row>
    <row r="38" spans="1:81" s="62" customFormat="1" ht="35.1" customHeight="1">
      <c r="A38" s="63"/>
      <c r="B38" s="64"/>
      <c r="C38" s="64"/>
      <c r="D38" s="65"/>
      <c r="E38" s="65"/>
      <c r="F38" s="65"/>
      <c r="G38" s="65"/>
      <c r="H38" s="65"/>
      <c r="I38" s="65"/>
      <c r="J38" s="18"/>
      <c r="K38" s="65"/>
      <c r="L38" s="65"/>
      <c r="M38" s="44"/>
      <c r="N38" s="44"/>
      <c r="O38" s="44"/>
      <c r="P38" s="17"/>
      <c r="Q38" s="60" t="str">
        <f t="shared" si="3"/>
        <v/>
      </c>
      <c r="R38" s="60" t="str">
        <f t="shared" si="4"/>
        <v/>
      </c>
      <c r="S38" s="61" t="str">
        <f t="shared" si="5"/>
        <v>-</v>
      </c>
      <c r="T38" s="61"/>
      <c r="U38" s="61"/>
      <c r="V38" s="61"/>
      <c r="W38" s="61"/>
      <c r="X38" s="61"/>
      <c r="Y38" s="61"/>
    </row>
    <row r="39" spans="1:81" s="62" customFormat="1" ht="35.1" customHeight="1">
      <c r="A39" s="63"/>
      <c r="B39" s="64"/>
      <c r="C39" s="64"/>
      <c r="D39" s="65"/>
      <c r="E39" s="65"/>
      <c r="F39" s="65"/>
      <c r="G39" s="65"/>
      <c r="H39" s="65"/>
      <c r="I39" s="65"/>
      <c r="J39" s="18"/>
      <c r="K39" s="65"/>
      <c r="L39" s="65"/>
      <c r="M39" s="44"/>
      <c r="N39" s="44"/>
      <c r="O39" s="44"/>
      <c r="P39" s="17"/>
      <c r="Q39" s="60" t="str">
        <f t="shared" si="3"/>
        <v/>
      </c>
      <c r="R39" s="60" t="str">
        <f t="shared" si="4"/>
        <v/>
      </c>
      <c r="S39" s="61" t="str">
        <f t="shared" si="5"/>
        <v>-</v>
      </c>
      <c r="T39" s="61"/>
      <c r="U39" s="61"/>
      <c r="V39" s="61"/>
      <c r="W39" s="61"/>
      <c r="X39" s="61"/>
      <c r="Y39" s="61"/>
    </row>
    <row r="40" spans="1:81" s="62" customFormat="1" ht="35.1" customHeight="1">
      <c r="A40" s="63"/>
      <c r="B40" s="64"/>
      <c r="C40" s="64"/>
      <c r="D40" s="65"/>
      <c r="E40" s="65"/>
      <c r="F40" s="65"/>
      <c r="G40" s="65"/>
      <c r="H40" s="65"/>
      <c r="I40" s="65"/>
      <c r="J40" s="18"/>
      <c r="K40" s="65"/>
      <c r="L40" s="65"/>
      <c r="M40" s="44"/>
      <c r="N40" s="44"/>
      <c r="O40" s="44"/>
      <c r="P40" s="17"/>
      <c r="Q40" s="60" t="str">
        <f t="shared" si="3"/>
        <v/>
      </c>
      <c r="R40" s="60" t="str">
        <f t="shared" si="4"/>
        <v/>
      </c>
      <c r="S40" s="61" t="str">
        <f t="shared" si="5"/>
        <v>-</v>
      </c>
      <c r="T40" s="61"/>
      <c r="U40" s="61"/>
      <c r="V40" s="61"/>
      <c r="W40" s="61"/>
      <c r="X40" s="61"/>
      <c r="Y40" s="61"/>
    </row>
    <row r="41" spans="1:81" s="62" customFormat="1" ht="35.1" customHeight="1">
      <c r="A41" s="63"/>
      <c r="B41" s="64"/>
      <c r="C41" s="64"/>
      <c r="D41" s="65"/>
      <c r="E41" s="65"/>
      <c r="F41" s="65"/>
      <c r="G41" s="65"/>
      <c r="H41" s="65"/>
      <c r="I41" s="65"/>
      <c r="J41" s="18"/>
      <c r="K41" s="65"/>
      <c r="L41" s="65"/>
      <c r="M41" s="44"/>
      <c r="N41" s="44"/>
      <c r="O41" s="44"/>
      <c r="P41" s="17"/>
      <c r="Q41" s="60" t="str">
        <f t="shared" si="3"/>
        <v/>
      </c>
      <c r="R41" s="60" t="str">
        <f t="shared" si="4"/>
        <v/>
      </c>
      <c r="S41" s="61" t="str">
        <f t="shared" si="5"/>
        <v>-</v>
      </c>
      <c r="T41" s="61"/>
      <c r="U41" s="61"/>
      <c r="V41" s="61"/>
      <c r="W41" s="61"/>
      <c r="X41" s="61"/>
      <c r="Y41" s="61"/>
    </row>
    <row r="42" spans="1:81" s="62" customFormat="1" ht="35.1" customHeight="1">
      <c r="A42" s="63"/>
      <c r="B42" s="64"/>
      <c r="C42" s="64"/>
      <c r="D42" s="65"/>
      <c r="E42" s="65"/>
      <c r="F42" s="65"/>
      <c r="G42" s="65"/>
      <c r="H42" s="65"/>
      <c r="I42" s="65"/>
      <c r="J42" s="18"/>
      <c r="K42" s="65"/>
      <c r="L42" s="65"/>
      <c r="M42" s="44"/>
      <c r="N42" s="44"/>
      <c r="O42" s="44"/>
      <c r="P42" s="17"/>
      <c r="Q42" s="60" t="str">
        <f t="shared" si="3"/>
        <v/>
      </c>
      <c r="R42" s="60" t="str">
        <f t="shared" si="4"/>
        <v/>
      </c>
      <c r="S42" s="61" t="str">
        <f t="shared" si="5"/>
        <v>-</v>
      </c>
      <c r="T42" s="61"/>
      <c r="U42" s="61"/>
      <c r="V42" s="61"/>
      <c r="W42" s="61"/>
      <c r="X42" s="61"/>
      <c r="Y42" s="61"/>
    </row>
    <row r="43" spans="1:81" s="62" customFormat="1" ht="35.1" customHeight="1">
      <c r="A43" s="63"/>
      <c r="B43" s="64"/>
      <c r="C43" s="64"/>
      <c r="D43" s="65"/>
      <c r="E43" s="65"/>
      <c r="F43" s="65"/>
      <c r="G43" s="65"/>
      <c r="H43" s="65"/>
      <c r="I43" s="65"/>
      <c r="J43" s="18"/>
      <c r="K43" s="65"/>
      <c r="L43" s="65"/>
      <c r="M43" s="44"/>
      <c r="N43" s="44"/>
      <c r="O43" s="44"/>
      <c r="P43" s="17"/>
      <c r="Q43" s="60" t="str">
        <f t="shared" si="3"/>
        <v/>
      </c>
      <c r="R43" s="60" t="str">
        <f t="shared" si="4"/>
        <v/>
      </c>
      <c r="S43" s="61" t="str">
        <f t="shared" si="5"/>
        <v>-</v>
      </c>
      <c r="T43" s="61"/>
      <c r="U43" s="61"/>
      <c r="V43" s="61"/>
      <c r="W43" s="61"/>
      <c r="X43" s="61"/>
      <c r="Y43" s="61"/>
    </row>
    <row r="44" spans="1:81" s="62" customFormat="1" ht="35.1" customHeight="1">
      <c r="A44" s="63"/>
      <c r="B44" s="64"/>
      <c r="C44" s="64"/>
      <c r="D44" s="65"/>
      <c r="E44" s="65"/>
      <c r="F44" s="65"/>
      <c r="G44" s="65"/>
      <c r="H44" s="65"/>
      <c r="I44" s="65"/>
      <c r="J44" s="18"/>
      <c r="K44" s="65"/>
      <c r="L44" s="65"/>
      <c r="M44" s="44"/>
      <c r="N44" s="44"/>
      <c r="O44" s="44"/>
      <c r="P44" s="17"/>
      <c r="Q44" s="60" t="str">
        <f t="shared" si="3"/>
        <v/>
      </c>
      <c r="R44" s="60" t="str">
        <f t="shared" si="4"/>
        <v/>
      </c>
      <c r="S44" s="61" t="str">
        <f t="shared" si="5"/>
        <v>-</v>
      </c>
      <c r="T44" s="61"/>
      <c r="U44" s="61"/>
      <c r="V44" s="61"/>
      <c r="W44" s="61"/>
      <c r="X44" s="61"/>
      <c r="Y44" s="61"/>
    </row>
    <row r="45" spans="1:81" s="62" customFormat="1" ht="35.1" customHeight="1">
      <c r="A45" s="63"/>
      <c r="B45" s="64"/>
      <c r="C45" s="64"/>
      <c r="D45" s="65"/>
      <c r="E45" s="65"/>
      <c r="F45" s="65"/>
      <c r="G45" s="65"/>
      <c r="H45" s="65"/>
      <c r="I45" s="65"/>
      <c r="J45" s="18"/>
      <c r="K45" s="65"/>
      <c r="L45" s="65"/>
      <c r="M45" s="44"/>
      <c r="N45" s="44"/>
      <c r="O45" s="44"/>
      <c r="P45" s="17"/>
      <c r="Q45" s="60" t="str">
        <f t="shared" si="3"/>
        <v/>
      </c>
      <c r="R45" s="60" t="str">
        <f t="shared" si="4"/>
        <v/>
      </c>
      <c r="S45" s="61" t="str">
        <f t="shared" si="5"/>
        <v>-</v>
      </c>
      <c r="T45" s="61"/>
      <c r="U45" s="61"/>
      <c r="V45" s="61"/>
      <c r="W45" s="61"/>
      <c r="X45" s="61"/>
      <c r="Y45" s="61"/>
    </row>
    <row r="46" spans="1:81" s="62" customFormat="1" ht="35.1" customHeight="1">
      <c r="A46" s="77"/>
      <c r="B46" s="78"/>
      <c r="C46" s="78"/>
      <c r="D46" s="79"/>
      <c r="E46" s="79"/>
      <c r="F46" s="79"/>
      <c r="G46" s="79"/>
      <c r="H46" s="79"/>
      <c r="I46" s="79"/>
      <c r="J46" s="42"/>
      <c r="K46" s="79"/>
      <c r="L46" s="79"/>
      <c r="M46" s="90"/>
      <c r="N46" s="90"/>
      <c r="O46" s="90"/>
      <c r="P46" s="91"/>
      <c r="Q46" s="60" t="str">
        <f t="shared" si="3"/>
        <v/>
      </c>
      <c r="R46" s="60" t="str">
        <f t="shared" si="4"/>
        <v/>
      </c>
      <c r="S46" s="61" t="str">
        <f t="shared" si="5"/>
        <v>-</v>
      </c>
      <c r="T46" s="61"/>
      <c r="U46" s="61"/>
      <c r="V46" s="61"/>
      <c r="W46" s="61"/>
      <c r="X46" s="61"/>
      <c r="Y46" s="61"/>
    </row>
    <row r="47" spans="1:81" s="73" customFormat="1" ht="35.1" customHeight="1">
      <c r="A47" s="66" t="s">
        <v>41</v>
      </c>
      <c r="B47" s="67"/>
      <c r="C47" s="67"/>
      <c r="D47" s="68"/>
      <c r="E47" s="68"/>
      <c r="F47" s="68"/>
      <c r="G47" s="69"/>
      <c r="H47" s="69">
        <f>SUM(H27:H46)</f>
        <v>0</v>
      </c>
      <c r="I47" s="69">
        <f>SUM(I27:I46)</f>
        <v>0</v>
      </c>
      <c r="J47" s="69">
        <f>SUM(J27:J46)</f>
        <v>0</v>
      </c>
      <c r="K47" s="70"/>
      <c r="L47" s="70"/>
      <c r="M47" s="70"/>
      <c r="N47" s="70"/>
      <c r="O47" s="70"/>
      <c r="P47" s="71"/>
      <c r="Q47" s="60" t="str">
        <f t="shared" si="3"/>
        <v/>
      </c>
      <c r="R47" s="60" t="str">
        <f t="shared" si="4"/>
        <v/>
      </c>
      <c r="S47" s="61"/>
      <c r="T47" s="61"/>
      <c r="U47" s="61"/>
      <c r="V47" s="61"/>
      <c r="W47" s="61"/>
      <c r="X47" s="61"/>
      <c r="Y47" s="61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</row>
    <row r="48" spans="1:81" s="62" customFormat="1" ht="35.1" customHeight="1">
      <c r="A48" s="87"/>
      <c r="B48" s="82"/>
      <c r="C48" s="82"/>
      <c r="D48" s="80"/>
      <c r="E48" s="80"/>
      <c r="F48" s="80"/>
      <c r="G48" s="59"/>
      <c r="H48" s="19"/>
      <c r="I48" s="59"/>
      <c r="J48" s="19">
        <f>I48-H48</f>
        <v>0</v>
      </c>
      <c r="K48" s="80"/>
      <c r="L48" s="80"/>
      <c r="M48" s="43"/>
      <c r="N48" s="43"/>
      <c r="O48" s="43"/>
      <c r="P48" s="16"/>
      <c r="Q48" s="60" t="str">
        <f>CONCATENATE(D48,K48)</f>
        <v/>
      </c>
      <c r="R48" s="60" t="str">
        <f>CONCATENATE(E48,K48)</f>
        <v/>
      </c>
      <c r="S48" s="61" t="str">
        <f>IF(G48&gt;=I48,"-","err")</f>
        <v>-</v>
      </c>
      <c r="T48" s="61"/>
      <c r="U48" s="61"/>
      <c r="V48" s="61"/>
      <c r="W48" s="61"/>
      <c r="X48" s="61"/>
      <c r="Y48" s="61"/>
    </row>
    <row r="49" spans="1:25" s="62" customFormat="1" ht="35.1" customHeight="1">
      <c r="A49" s="88"/>
      <c r="B49" s="83"/>
      <c r="C49" s="83"/>
      <c r="D49" s="65"/>
      <c r="E49" s="65"/>
      <c r="F49" s="65"/>
      <c r="G49" s="65"/>
      <c r="H49" s="18"/>
      <c r="I49" s="65"/>
      <c r="J49" s="18">
        <f>I49-H49</f>
        <v>0</v>
      </c>
      <c r="K49" s="65"/>
      <c r="L49" s="65"/>
      <c r="M49" s="44"/>
      <c r="N49" s="44">
        <v>0</v>
      </c>
      <c r="O49" s="44">
        <v>0</v>
      </c>
      <c r="P49" s="17"/>
      <c r="Q49" s="60" t="str">
        <f t="shared" ref="Q49:Q68" si="6">CONCATENATE(D49,K49)</f>
        <v/>
      </c>
      <c r="R49" s="60" t="str">
        <f t="shared" ref="R49:R68" si="7">CONCATENATE(E49,K49)</f>
        <v/>
      </c>
      <c r="S49" s="61" t="str">
        <f t="shared" ref="S49:S67" si="8">IF(G49&gt;=I49,"-","err")</f>
        <v>-</v>
      </c>
      <c r="T49" s="61"/>
      <c r="U49" s="61"/>
      <c r="V49" s="61"/>
      <c r="W49" s="61"/>
      <c r="X49" s="61"/>
      <c r="Y49" s="61"/>
    </row>
    <row r="50" spans="1:25" s="62" customFormat="1" ht="35.1" customHeight="1">
      <c r="A50" s="88"/>
      <c r="B50" s="86"/>
      <c r="C50" s="86"/>
      <c r="D50" s="65"/>
      <c r="E50" s="65"/>
      <c r="F50" s="65"/>
      <c r="G50" s="65"/>
      <c r="H50" s="18"/>
      <c r="I50" s="65"/>
      <c r="J50" s="18">
        <f>I50-H50</f>
        <v>0</v>
      </c>
      <c r="K50" s="65"/>
      <c r="L50" s="65"/>
      <c r="M50" s="44"/>
      <c r="N50" s="44">
        <v>0</v>
      </c>
      <c r="O50" s="44">
        <v>0</v>
      </c>
      <c r="P50" s="17"/>
      <c r="Q50" s="60" t="str">
        <f t="shared" si="6"/>
        <v/>
      </c>
      <c r="R50" s="60" t="str">
        <f t="shared" si="7"/>
        <v/>
      </c>
      <c r="S50" s="61" t="str">
        <f t="shared" si="8"/>
        <v>-</v>
      </c>
      <c r="T50" s="61"/>
      <c r="U50" s="61"/>
      <c r="V50" s="61"/>
      <c r="W50" s="61"/>
      <c r="X50" s="61"/>
      <c r="Y50" s="61"/>
    </row>
    <row r="51" spans="1:25" s="62" customFormat="1" ht="35.1" customHeight="1">
      <c r="A51" s="88"/>
      <c r="B51" s="86"/>
      <c r="C51" s="86"/>
      <c r="D51" s="65"/>
      <c r="E51" s="65"/>
      <c r="F51" s="65"/>
      <c r="G51" s="65"/>
      <c r="H51" s="18"/>
      <c r="I51" s="65"/>
      <c r="J51" s="18">
        <f>I51-H51</f>
        <v>0</v>
      </c>
      <c r="K51" s="65"/>
      <c r="L51" s="65"/>
      <c r="M51" s="44"/>
      <c r="N51" s="44">
        <v>0</v>
      </c>
      <c r="O51" s="44">
        <v>0</v>
      </c>
      <c r="P51" s="17"/>
      <c r="Q51" s="60" t="str">
        <f t="shared" si="6"/>
        <v/>
      </c>
      <c r="R51" s="60" t="str">
        <f t="shared" si="7"/>
        <v/>
      </c>
      <c r="S51" s="61" t="str">
        <f t="shared" si="8"/>
        <v>-</v>
      </c>
      <c r="T51" s="61"/>
      <c r="U51" s="61"/>
      <c r="V51" s="61"/>
      <c r="W51" s="61"/>
      <c r="X51" s="61"/>
      <c r="Y51" s="61"/>
    </row>
    <row r="52" spans="1:25" s="62" customFormat="1" ht="35.1" customHeight="1">
      <c r="A52" s="88"/>
      <c r="B52" s="86"/>
      <c r="C52" s="86"/>
      <c r="D52" s="65"/>
      <c r="E52" s="65"/>
      <c r="F52" s="65"/>
      <c r="G52" s="65"/>
      <c r="H52" s="18"/>
      <c r="I52" s="65"/>
      <c r="J52" s="18">
        <f>I52-H52</f>
        <v>0</v>
      </c>
      <c r="K52" s="65"/>
      <c r="L52" s="65"/>
      <c r="M52" s="44"/>
      <c r="N52" s="44">
        <v>0</v>
      </c>
      <c r="O52" s="44">
        <v>0</v>
      </c>
      <c r="P52" s="17"/>
      <c r="Q52" s="60" t="str">
        <f t="shared" si="6"/>
        <v/>
      </c>
      <c r="R52" s="60" t="str">
        <f t="shared" si="7"/>
        <v/>
      </c>
      <c r="S52" s="61" t="str">
        <f t="shared" si="8"/>
        <v>-</v>
      </c>
      <c r="T52" s="61"/>
      <c r="U52" s="61"/>
      <c r="V52" s="61"/>
      <c r="W52" s="61"/>
      <c r="X52" s="61"/>
      <c r="Y52" s="61"/>
    </row>
    <row r="53" spans="1:25" s="62" customFormat="1" ht="35.1" customHeight="1">
      <c r="A53" s="63"/>
      <c r="B53" s="83"/>
      <c r="C53" s="83"/>
      <c r="D53" s="65"/>
      <c r="E53" s="65"/>
      <c r="F53" s="65"/>
      <c r="G53" s="65"/>
      <c r="H53" s="76"/>
      <c r="I53" s="65"/>
      <c r="J53" s="18"/>
      <c r="K53" s="65"/>
      <c r="L53" s="65"/>
      <c r="M53" s="44"/>
      <c r="N53" s="44">
        <v>0</v>
      </c>
      <c r="O53" s="44">
        <v>0</v>
      </c>
      <c r="P53" s="17"/>
      <c r="Q53" s="60" t="str">
        <f t="shared" si="6"/>
        <v/>
      </c>
      <c r="R53" s="60" t="str">
        <f t="shared" si="7"/>
        <v/>
      </c>
      <c r="S53" s="61" t="str">
        <f t="shared" si="8"/>
        <v>-</v>
      </c>
      <c r="T53" s="61"/>
      <c r="U53" s="61"/>
      <c r="V53" s="61"/>
      <c r="W53" s="61"/>
      <c r="X53" s="61"/>
      <c r="Y53" s="61"/>
    </row>
    <row r="54" spans="1:25" s="62" customFormat="1" ht="35.1" customHeight="1">
      <c r="A54" s="63"/>
      <c r="B54" s="83"/>
      <c r="C54" s="83"/>
      <c r="D54" s="81"/>
      <c r="E54" s="81"/>
      <c r="F54" s="81"/>
      <c r="G54" s="65"/>
      <c r="H54" s="85"/>
      <c r="I54" s="65"/>
      <c r="J54" s="18"/>
      <c r="K54" s="81"/>
      <c r="L54" s="81"/>
      <c r="M54" s="44"/>
      <c r="N54" s="44"/>
      <c r="O54" s="44"/>
      <c r="P54" s="17"/>
      <c r="Q54" s="60" t="str">
        <f t="shared" si="6"/>
        <v/>
      </c>
      <c r="R54" s="60" t="str">
        <f t="shared" si="7"/>
        <v/>
      </c>
      <c r="S54" s="61" t="str">
        <f t="shared" si="8"/>
        <v>-</v>
      </c>
      <c r="T54" s="61"/>
      <c r="U54" s="61"/>
      <c r="V54" s="61"/>
      <c r="W54" s="61"/>
      <c r="X54" s="61"/>
      <c r="Y54" s="61"/>
    </row>
    <row r="55" spans="1:25" s="62" customFormat="1" ht="35.1" customHeight="1">
      <c r="A55" s="63"/>
      <c r="B55" s="83"/>
      <c r="C55" s="83"/>
      <c r="D55" s="81"/>
      <c r="E55" s="81"/>
      <c r="F55" s="81"/>
      <c r="G55" s="65"/>
      <c r="H55" s="85"/>
      <c r="I55" s="65"/>
      <c r="J55" s="18"/>
      <c r="K55" s="81"/>
      <c r="L55" s="81"/>
      <c r="M55" s="44"/>
      <c r="N55" s="44">
        <v>0</v>
      </c>
      <c r="O55" s="44">
        <v>0</v>
      </c>
      <c r="P55" s="17"/>
      <c r="Q55" s="60" t="str">
        <f t="shared" si="6"/>
        <v/>
      </c>
      <c r="R55" s="60" t="str">
        <f t="shared" si="7"/>
        <v/>
      </c>
      <c r="S55" s="61" t="str">
        <f t="shared" si="8"/>
        <v>-</v>
      </c>
      <c r="T55" s="61"/>
      <c r="U55" s="61"/>
      <c r="V55" s="61"/>
      <c r="W55" s="61"/>
      <c r="X55" s="61"/>
      <c r="Y55" s="61"/>
    </row>
    <row r="56" spans="1:25" s="62" customFormat="1" ht="35.1" customHeight="1">
      <c r="A56" s="63"/>
      <c r="B56" s="83"/>
      <c r="C56" s="83"/>
      <c r="D56" s="81"/>
      <c r="E56" s="81"/>
      <c r="F56" s="81"/>
      <c r="G56" s="65"/>
      <c r="H56" s="85"/>
      <c r="I56" s="65"/>
      <c r="J56" s="18"/>
      <c r="K56" s="81"/>
      <c r="L56" s="81"/>
      <c r="M56" s="44">
        <v>0</v>
      </c>
      <c r="N56" s="44">
        <v>0</v>
      </c>
      <c r="O56" s="44">
        <v>0</v>
      </c>
      <c r="P56" s="17"/>
      <c r="Q56" s="60" t="str">
        <f t="shared" si="6"/>
        <v/>
      </c>
      <c r="R56" s="60" t="str">
        <f t="shared" si="7"/>
        <v/>
      </c>
      <c r="S56" s="61" t="str">
        <f t="shared" si="8"/>
        <v>-</v>
      </c>
      <c r="T56" s="61"/>
      <c r="U56" s="61"/>
      <c r="V56" s="61"/>
      <c r="W56" s="61"/>
      <c r="X56" s="61"/>
      <c r="Y56" s="61"/>
    </row>
    <row r="57" spans="1:25" s="62" customFormat="1" ht="35.1" customHeight="1">
      <c r="A57" s="63"/>
      <c r="B57" s="83"/>
      <c r="C57" s="83"/>
      <c r="D57" s="81"/>
      <c r="E57" s="81"/>
      <c r="F57" s="81"/>
      <c r="G57" s="65"/>
      <c r="H57" s="85"/>
      <c r="I57" s="65"/>
      <c r="J57" s="18"/>
      <c r="K57" s="81"/>
      <c r="L57" s="81"/>
      <c r="M57" s="44">
        <v>0</v>
      </c>
      <c r="N57" s="44">
        <v>0</v>
      </c>
      <c r="O57" s="44">
        <v>0</v>
      </c>
      <c r="P57" s="17"/>
      <c r="Q57" s="60" t="str">
        <f t="shared" si="6"/>
        <v/>
      </c>
      <c r="R57" s="60" t="str">
        <f t="shared" si="7"/>
        <v/>
      </c>
      <c r="S57" s="61" t="str">
        <f t="shared" si="8"/>
        <v>-</v>
      </c>
      <c r="T57" s="61"/>
      <c r="U57" s="61"/>
      <c r="V57" s="61"/>
      <c r="W57" s="61"/>
      <c r="X57" s="61"/>
      <c r="Y57" s="61"/>
    </row>
    <row r="58" spans="1:25" s="62" customFormat="1" ht="35.1" customHeight="1">
      <c r="A58" s="63"/>
      <c r="B58" s="83"/>
      <c r="C58" s="83"/>
      <c r="D58" s="81"/>
      <c r="E58" s="81"/>
      <c r="F58" s="81"/>
      <c r="G58" s="65"/>
      <c r="H58" s="85"/>
      <c r="I58" s="65"/>
      <c r="J58" s="18"/>
      <c r="K58" s="81"/>
      <c r="L58" s="81"/>
      <c r="M58" s="44">
        <v>0</v>
      </c>
      <c r="N58" s="44">
        <v>0</v>
      </c>
      <c r="O58" s="44">
        <v>0</v>
      </c>
      <c r="P58" s="17"/>
      <c r="Q58" s="60" t="str">
        <f t="shared" si="6"/>
        <v/>
      </c>
      <c r="R58" s="60" t="str">
        <f t="shared" si="7"/>
        <v/>
      </c>
      <c r="S58" s="61" t="str">
        <f t="shared" si="8"/>
        <v>-</v>
      </c>
      <c r="T58" s="61"/>
      <c r="U58" s="61"/>
      <c r="V58" s="61"/>
      <c r="W58" s="61"/>
      <c r="X58" s="61"/>
      <c r="Y58" s="61"/>
    </row>
    <row r="59" spans="1:25" s="62" customFormat="1" ht="35.1" customHeight="1">
      <c r="A59" s="63"/>
      <c r="B59" s="64"/>
      <c r="C59" s="64"/>
      <c r="D59" s="65"/>
      <c r="E59" s="65"/>
      <c r="F59" s="65"/>
      <c r="G59" s="65"/>
      <c r="H59" s="65"/>
      <c r="I59" s="65"/>
      <c r="J59" s="18"/>
      <c r="K59" s="65"/>
      <c r="L59" s="65"/>
      <c r="M59" s="44"/>
      <c r="N59" s="44"/>
      <c r="O59" s="44"/>
      <c r="P59" s="17"/>
      <c r="Q59" s="60" t="str">
        <f t="shared" si="6"/>
        <v/>
      </c>
      <c r="R59" s="60" t="str">
        <f t="shared" si="7"/>
        <v/>
      </c>
      <c r="S59" s="61" t="str">
        <f t="shared" si="8"/>
        <v>-</v>
      </c>
      <c r="T59" s="61"/>
      <c r="U59" s="61"/>
      <c r="V59" s="61"/>
      <c r="W59" s="61"/>
      <c r="X59" s="61"/>
      <c r="Y59" s="61"/>
    </row>
    <row r="60" spans="1:25" s="62" customFormat="1" ht="35.1" customHeight="1">
      <c r="A60" s="63"/>
      <c r="B60" s="64"/>
      <c r="C60" s="64"/>
      <c r="D60" s="65"/>
      <c r="E60" s="65"/>
      <c r="F60" s="65"/>
      <c r="G60" s="65"/>
      <c r="H60" s="65"/>
      <c r="I60" s="65"/>
      <c r="J60" s="18"/>
      <c r="K60" s="65"/>
      <c r="L60" s="65"/>
      <c r="M60" s="44"/>
      <c r="N60" s="44"/>
      <c r="O60" s="44"/>
      <c r="P60" s="17"/>
      <c r="Q60" s="60" t="str">
        <f t="shared" si="6"/>
        <v/>
      </c>
      <c r="R60" s="60" t="str">
        <f t="shared" si="7"/>
        <v/>
      </c>
      <c r="S60" s="61" t="str">
        <f t="shared" si="8"/>
        <v>-</v>
      </c>
      <c r="T60" s="61"/>
      <c r="U60" s="61"/>
      <c r="V60" s="61"/>
      <c r="W60" s="61"/>
      <c r="X60" s="61"/>
      <c r="Y60" s="61"/>
    </row>
    <row r="61" spans="1:25" s="62" customFormat="1" ht="35.1" customHeight="1">
      <c r="A61" s="63"/>
      <c r="B61" s="64"/>
      <c r="C61" s="64"/>
      <c r="D61" s="65"/>
      <c r="E61" s="65"/>
      <c r="F61" s="65"/>
      <c r="G61" s="65"/>
      <c r="H61" s="65"/>
      <c r="I61" s="65"/>
      <c r="J61" s="18"/>
      <c r="K61" s="65"/>
      <c r="L61" s="65"/>
      <c r="M61" s="44"/>
      <c r="N61" s="44"/>
      <c r="O61" s="44"/>
      <c r="P61" s="17"/>
      <c r="Q61" s="60" t="str">
        <f t="shared" si="6"/>
        <v/>
      </c>
      <c r="R61" s="60" t="str">
        <f t="shared" si="7"/>
        <v/>
      </c>
      <c r="S61" s="61" t="str">
        <f t="shared" si="8"/>
        <v>-</v>
      </c>
      <c r="T61" s="61"/>
      <c r="U61" s="61"/>
      <c r="V61" s="61"/>
      <c r="W61" s="61"/>
      <c r="X61" s="61"/>
      <c r="Y61" s="61"/>
    </row>
    <row r="62" spans="1:25" s="62" customFormat="1" ht="35.1" customHeight="1">
      <c r="A62" s="63"/>
      <c r="B62" s="64"/>
      <c r="C62" s="64"/>
      <c r="D62" s="65"/>
      <c r="E62" s="65"/>
      <c r="F62" s="65"/>
      <c r="G62" s="65"/>
      <c r="H62" s="65"/>
      <c r="I62" s="65"/>
      <c r="J62" s="18"/>
      <c r="K62" s="65"/>
      <c r="L62" s="65"/>
      <c r="M62" s="44"/>
      <c r="N62" s="44"/>
      <c r="O62" s="44"/>
      <c r="P62" s="17"/>
      <c r="Q62" s="60" t="str">
        <f t="shared" si="6"/>
        <v/>
      </c>
      <c r="R62" s="60" t="str">
        <f t="shared" si="7"/>
        <v/>
      </c>
      <c r="S62" s="61" t="str">
        <f t="shared" si="8"/>
        <v>-</v>
      </c>
      <c r="T62" s="61"/>
      <c r="U62" s="61"/>
      <c r="V62" s="61"/>
      <c r="W62" s="61"/>
      <c r="X62" s="61"/>
      <c r="Y62" s="61"/>
    </row>
    <row r="63" spans="1:25" s="62" customFormat="1" ht="35.1" customHeight="1">
      <c r="A63" s="63"/>
      <c r="B63" s="64"/>
      <c r="C63" s="64"/>
      <c r="D63" s="65"/>
      <c r="E63" s="65"/>
      <c r="F63" s="65"/>
      <c r="G63" s="65"/>
      <c r="H63" s="65"/>
      <c r="I63" s="65"/>
      <c r="J63" s="18"/>
      <c r="K63" s="65"/>
      <c r="L63" s="65"/>
      <c r="M63" s="44"/>
      <c r="N63" s="44"/>
      <c r="O63" s="44"/>
      <c r="P63" s="17"/>
      <c r="Q63" s="60" t="str">
        <f t="shared" si="6"/>
        <v/>
      </c>
      <c r="R63" s="60" t="str">
        <f t="shared" si="7"/>
        <v/>
      </c>
      <c r="S63" s="61" t="str">
        <f t="shared" si="8"/>
        <v>-</v>
      </c>
      <c r="T63" s="61"/>
      <c r="U63" s="61"/>
      <c r="V63" s="61"/>
      <c r="W63" s="61"/>
      <c r="X63" s="61"/>
      <c r="Y63" s="61"/>
    </row>
    <row r="64" spans="1:25" s="62" customFormat="1" ht="35.1" customHeight="1">
      <c r="A64" s="63"/>
      <c r="B64" s="64"/>
      <c r="C64" s="64"/>
      <c r="D64" s="65"/>
      <c r="E64" s="65"/>
      <c r="F64" s="65"/>
      <c r="G64" s="65"/>
      <c r="H64" s="65"/>
      <c r="I64" s="65"/>
      <c r="J64" s="18"/>
      <c r="K64" s="65"/>
      <c r="L64" s="65"/>
      <c r="M64" s="44"/>
      <c r="N64" s="44"/>
      <c r="O64" s="44"/>
      <c r="P64" s="17"/>
      <c r="Q64" s="60" t="str">
        <f t="shared" si="6"/>
        <v/>
      </c>
      <c r="R64" s="60" t="str">
        <f t="shared" si="7"/>
        <v/>
      </c>
      <c r="S64" s="61" t="str">
        <f t="shared" si="8"/>
        <v>-</v>
      </c>
      <c r="T64" s="61"/>
      <c r="U64" s="61"/>
      <c r="V64" s="61"/>
      <c r="W64" s="61"/>
      <c r="X64" s="61"/>
      <c r="Y64" s="61"/>
    </row>
    <row r="65" spans="1:81" s="62" customFormat="1" ht="35.1" customHeight="1">
      <c r="A65" s="63"/>
      <c r="B65" s="64"/>
      <c r="C65" s="64"/>
      <c r="D65" s="65"/>
      <c r="E65" s="65"/>
      <c r="F65" s="65"/>
      <c r="G65" s="65"/>
      <c r="H65" s="65"/>
      <c r="I65" s="65"/>
      <c r="J65" s="18"/>
      <c r="K65" s="65"/>
      <c r="L65" s="65"/>
      <c r="M65" s="44"/>
      <c r="N65" s="44"/>
      <c r="O65" s="44"/>
      <c r="P65" s="17"/>
      <c r="Q65" s="60" t="str">
        <f t="shared" si="6"/>
        <v/>
      </c>
      <c r="R65" s="60" t="str">
        <f t="shared" si="7"/>
        <v/>
      </c>
      <c r="S65" s="61" t="str">
        <f t="shared" si="8"/>
        <v>-</v>
      </c>
      <c r="T65" s="61"/>
      <c r="U65" s="61"/>
      <c r="V65" s="61"/>
      <c r="W65" s="61"/>
      <c r="X65" s="61"/>
      <c r="Y65" s="61"/>
    </row>
    <row r="66" spans="1:81" s="62" customFormat="1" ht="35.1" customHeight="1">
      <c r="A66" s="63"/>
      <c r="B66" s="64"/>
      <c r="C66" s="64"/>
      <c r="D66" s="65"/>
      <c r="E66" s="65"/>
      <c r="F66" s="65"/>
      <c r="G66" s="65"/>
      <c r="H66" s="65"/>
      <c r="I66" s="65"/>
      <c r="J66" s="18"/>
      <c r="K66" s="65"/>
      <c r="L66" s="65"/>
      <c r="M66" s="44"/>
      <c r="N66" s="44"/>
      <c r="O66" s="44"/>
      <c r="P66" s="17"/>
      <c r="Q66" s="60" t="str">
        <f t="shared" si="6"/>
        <v/>
      </c>
      <c r="R66" s="60" t="str">
        <f t="shared" si="7"/>
        <v/>
      </c>
      <c r="S66" s="61" t="str">
        <f t="shared" si="8"/>
        <v>-</v>
      </c>
      <c r="T66" s="61"/>
      <c r="U66" s="61"/>
      <c r="V66" s="61"/>
      <c r="W66" s="61"/>
      <c r="X66" s="61"/>
      <c r="Y66" s="61"/>
    </row>
    <row r="67" spans="1:81" s="62" customFormat="1" ht="35.1" customHeight="1">
      <c r="A67" s="77"/>
      <c r="B67" s="78"/>
      <c r="C67" s="78"/>
      <c r="D67" s="79"/>
      <c r="E67" s="79"/>
      <c r="F67" s="79"/>
      <c r="G67" s="79"/>
      <c r="H67" s="79"/>
      <c r="I67" s="79"/>
      <c r="J67" s="42"/>
      <c r="K67" s="79"/>
      <c r="L67" s="79"/>
      <c r="M67" s="90"/>
      <c r="N67" s="90"/>
      <c r="O67" s="90"/>
      <c r="P67" s="91"/>
      <c r="Q67" s="60" t="str">
        <f t="shared" si="6"/>
        <v/>
      </c>
      <c r="R67" s="60" t="str">
        <f t="shared" si="7"/>
        <v/>
      </c>
      <c r="S67" s="61" t="str">
        <f t="shared" si="8"/>
        <v>-</v>
      </c>
      <c r="T67" s="61"/>
      <c r="U67" s="61"/>
      <c r="V67" s="61"/>
      <c r="W67" s="61"/>
      <c r="X67" s="61"/>
      <c r="Y67" s="61"/>
    </row>
    <row r="68" spans="1:81" s="73" customFormat="1" ht="35.1" customHeight="1">
      <c r="A68" s="66" t="s">
        <v>41</v>
      </c>
      <c r="B68" s="67"/>
      <c r="C68" s="67"/>
      <c r="D68" s="68"/>
      <c r="E68" s="68"/>
      <c r="F68" s="68"/>
      <c r="G68" s="69"/>
      <c r="H68" s="69">
        <f>SUM(H48:H67)</f>
        <v>0</v>
      </c>
      <c r="I68" s="69">
        <f>SUM(I48:I67)</f>
        <v>0</v>
      </c>
      <c r="J68" s="69">
        <f>SUM(J48:J67)</f>
        <v>0</v>
      </c>
      <c r="K68" s="70"/>
      <c r="L68" s="70"/>
      <c r="M68" s="70"/>
      <c r="N68" s="70"/>
      <c r="O68" s="70"/>
      <c r="P68" s="71"/>
      <c r="Q68" s="60" t="str">
        <f t="shared" si="6"/>
        <v/>
      </c>
      <c r="R68" s="60" t="str">
        <f t="shared" si="7"/>
        <v/>
      </c>
      <c r="S68" s="61"/>
      <c r="T68" s="61"/>
      <c r="U68" s="61"/>
      <c r="V68" s="61"/>
      <c r="W68" s="61"/>
      <c r="X68" s="61"/>
      <c r="Y68" s="61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</row>
    <row r="69" spans="1:81" s="62" customFormat="1" ht="35.1" customHeight="1">
      <c r="A69" s="87"/>
      <c r="B69" s="82"/>
      <c r="C69" s="82"/>
      <c r="D69" s="80"/>
      <c r="E69" s="80"/>
      <c r="F69" s="80"/>
      <c r="G69" s="59"/>
      <c r="H69" s="19"/>
      <c r="I69" s="59"/>
      <c r="J69" s="19">
        <f>I69-H69</f>
        <v>0</v>
      </c>
      <c r="K69" s="80"/>
      <c r="L69" s="80"/>
      <c r="M69" s="43"/>
      <c r="N69" s="43"/>
      <c r="O69" s="43"/>
      <c r="P69" s="16"/>
      <c r="Q69" s="60" t="str">
        <f>CONCATENATE(D69,K69)</f>
        <v/>
      </c>
      <c r="R69" s="60" t="str">
        <f>CONCATENATE(E69,K69)</f>
        <v/>
      </c>
      <c r="S69" s="61" t="str">
        <f>IF(G69&gt;=I69,"-","err")</f>
        <v>-</v>
      </c>
      <c r="T69" s="61"/>
      <c r="U69" s="61"/>
      <c r="V69" s="61"/>
      <c r="W69" s="61"/>
      <c r="X69" s="61"/>
      <c r="Y69" s="61"/>
    </row>
    <row r="70" spans="1:81" s="62" customFormat="1" ht="35.1" customHeight="1">
      <c r="A70" s="88"/>
      <c r="B70" s="83"/>
      <c r="C70" s="83"/>
      <c r="D70" s="65"/>
      <c r="E70" s="65"/>
      <c r="F70" s="65"/>
      <c r="G70" s="65"/>
      <c r="H70" s="18"/>
      <c r="I70" s="65"/>
      <c r="J70" s="18">
        <f>I70-H70</f>
        <v>0</v>
      </c>
      <c r="K70" s="65"/>
      <c r="L70" s="65"/>
      <c r="M70" s="44"/>
      <c r="N70" s="44">
        <v>0</v>
      </c>
      <c r="O70" s="44">
        <v>0</v>
      </c>
      <c r="P70" s="17"/>
      <c r="Q70" s="60" t="str">
        <f t="shared" ref="Q70:Q89" si="9">CONCATENATE(D70,K70)</f>
        <v/>
      </c>
      <c r="R70" s="60" t="str">
        <f t="shared" ref="R70:R89" si="10">CONCATENATE(E70,K70)</f>
        <v/>
      </c>
      <c r="S70" s="61" t="str">
        <f t="shared" ref="S70:S88" si="11">IF(G70&gt;=I70,"-","err")</f>
        <v>-</v>
      </c>
      <c r="T70" s="61"/>
      <c r="U70" s="61"/>
      <c r="V70" s="61"/>
      <c r="W70" s="61"/>
      <c r="X70" s="61"/>
      <c r="Y70" s="61"/>
    </row>
    <row r="71" spans="1:81" s="62" customFormat="1" ht="35.1" customHeight="1">
      <c r="A71" s="88"/>
      <c r="B71" s="86"/>
      <c r="C71" s="86"/>
      <c r="D71" s="65"/>
      <c r="E71" s="65"/>
      <c r="F71" s="65"/>
      <c r="G71" s="65"/>
      <c r="H71" s="18"/>
      <c r="I71" s="65"/>
      <c r="J71" s="18">
        <f>I71-H71</f>
        <v>0</v>
      </c>
      <c r="K71" s="65"/>
      <c r="L71" s="65"/>
      <c r="M71" s="44"/>
      <c r="N71" s="44">
        <v>0</v>
      </c>
      <c r="O71" s="44">
        <v>0</v>
      </c>
      <c r="P71" s="17"/>
      <c r="Q71" s="60" t="str">
        <f t="shared" si="9"/>
        <v/>
      </c>
      <c r="R71" s="60" t="str">
        <f t="shared" si="10"/>
        <v/>
      </c>
      <c r="S71" s="61" t="str">
        <f t="shared" si="11"/>
        <v>-</v>
      </c>
      <c r="T71" s="61"/>
      <c r="U71" s="61"/>
      <c r="V71" s="61"/>
      <c r="W71" s="61"/>
      <c r="X71" s="61"/>
      <c r="Y71" s="61"/>
    </row>
    <row r="72" spans="1:81" s="62" customFormat="1" ht="35.1" customHeight="1">
      <c r="A72" s="88"/>
      <c r="B72" s="86"/>
      <c r="C72" s="86"/>
      <c r="D72" s="65"/>
      <c r="E72" s="65"/>
      <c r="F72" s="65"/>
      <c r="G72" s="65"/>
      <c r="H72" s="18"/>
      <c r="I72" s="65"/>
      <c r="J72" s="18">
        <f>I72-H72</f>
        <v>0</v>
      </c>
      <c r="K72" s="65"/>
      <c r="L72" s="65"/>
      <c r="M72" s="44"/>
      <c r="N72" s="44">
        <v>0</v>
      </c>
      <c r="O72" s="44">
        <v>0</v>
      </c>
      <c r="P72" s="17"/>
      <c r="Q72" s="60" t="str">
        <f t="shared" si="9"/>
        <v/>
      </c>
      <c r="R72" s="60" t="str">
        <f t="shared" si="10"/>
        <v/>
      </c>
      <c r="S72" s="61" t="str">
        <f t="shared" si="11"/>
        <v>-</v>
      </c>
      <c r="T72" s="61"/>
      <c r="U72" s="61"/>
      <c r="V72" s="61"/>
      <c r="W72" s="61"/>
      <c r="X72" s="61"/>
      <c r="Y72" s="61"/>
    </row>
    <row r="73" spans="1:81" s="62" customFormat="1" ht="35.1" customHeight="1">
      <c r="A73" s="88"/>
      <c r="B73" s="86"/>
      <c r="C73" s="86"/>
      <c r="D73" s="65"/>
      <c r="E73" s="65"/>
      <c r="F73" s="65"/>
      <c r="G73" s="65"/>
      <c r="H73" s="18"/>
      <c r="I73" s="65"/>
      <c r="J73" s="18">
        <f>I73-H73</f>
        <v>0</v>
      </c>
      <c r="K73" s="65"/>
      <c r="L73" s="65"/>
      <c r="M73" s="44"/>
      <c r="N73" s="44">
        <v>0</v>
      </c>
      <c r="O73" s="44">
        <v>0</v>
      </c>
      <c r="P73" s="17"/>
      <c r="Q73" s="60" t="str">
        <f t="shared" si="9"/>
        <v/>
      </c>
      <c r="R73" s="60" t="str">
        <f t="shared" si="10"/>
        <v/>
      </c>
      <c r="S73" s="61" t="str">
        <f t="shared" si="11"/>
        <v>-</v>
      </c>
      <c r="T73" s="61"/>
      <c r="U73" s="61"/>
      <c r="V73" s="61"/>
      <c r="W73" s="61"/>
      <c r="X73" s="61"/>
      <c r="Y73" s="61"/>
    </row>
    <row r="74" spans="1:81" s="62" customFormat="1" ht="35.1" customHeight="1">
      <c r="A74" s="63"/>
      <c r="B74" s="83"/>
      <c r="C74" s="83"/>
      <c r="D74" s="65"/>
      <c r="E74" s="65"/>
      <c r="F74" s="65"/>
      <c r="G74" s="65"/>
      <c r="H74" s="76"/>
      <c r="I74" s="65"/>
      <c r="J74" s="18"/>
      <c r="K74" s="65"/>
      <c r="L74" s="65"/>
      <c r="M74" s="44"/>
      <c r="N74" s="44">
        <v>0</v>
      </c>
      <c r="O74" s="44">
        <v>0</v>
      </c>
      <c r="P74" s="17"/>
      <c r="Q74" s="60" t="str">
        <f t="shared" si="9"/>
        <v/>
      </c>
      <c r="R74" s="60" t="str">
        <f t="shared" si="10"/>
        <v/>
      </c>
      <c r="S74" s="61" t="str">
        <f t="shared" si="11"/>
        <v>-</v>
      </c>
      <c r="T74" s="61"/>
      <c r="U74" s="61"/>
      <c r="V74" s="61"/>
      <c r="W74" s="61"/>
      <c r="X74" s="61"/>
      <c r="Y74" s="61"/>
    </row>
    <row r="75" spans="1:81" s="62" customFormat="1" ht="35.1" customHeight="1">
      <c r="A75" s="63"/>
      <c r="B75" s="83"/>
      <c r="C75" s="83"/>
      <c r="D75" s="81"/>
      <c r="E75" s="81"/>
      <c r="F75" s="81"/>
      <c r="G75" s="65"/>
      <c r="H75" s="85"/>
      <c r="I75" s="65"/>
      <c r="J75" s="18"/>
      <c r="K75" s="81"/>
      <c r="L75" s="81"/>
      <c r="M75" s="44"/>
      <c r="N75" s="44"/>
      <c r="O75" s="44"/>
      <c r="P75" s="17"/>
      <c r="Q75" s="60" t="str">
        <f t="shared" si="9"/>
        <v/>
      </c>
      <c r="R75" s="60" t="str">
        <f t="shared" si="10"/>
        <v/>
      </c>
      <c r="S75" s="61" t="str">
        <f t="shared" si="11"/>
        <v>-</v>
      </c>
      <c r="T75" s="61"/>
      <c r="U75" s="61"/>
      <c r="V75" s="61"/>
      <c r="W75" s="61"/>
      <c r="X75" s="61"/>
      <c r="Y75" s="61"/>
    </row>
    <row r="76" spans="1:81" s="62" customFormat="1" ht="35.1" customHeight="1">
      <c r="A76" s="63"/>
      <c r="B76" s="83"/>
      <c r="C76" s="83"/>
      <c r="D76" s="81"/>
      <c r="E76" s="81"/>
      <c r="F76" s="81"/>
      <c r="G76" s="65"/>
      <c r="H76" s="85"/>
      <c r="I76" s="65"/>
      <c r="J76" s="18"/>
      <c r="K76" s="81"/>
      <c r="L76" s="81"/>
      <c r="M76" s="44"/>
      <c r="N76" s="44">
        <v>0</v>
      </c>
      <c r="O76" s="44">
        <v>0</v>
      </c>
      <c r="P76" s="17"/>
      <c r="Q76" s="60" t="str">
        <f t="shared" si="9"/>
        <v/>
      </c>
      <c r="R76" s="60" t="str">
        <f t="shared" si="10"/>
        <v/>
      </c>
      <c r="S76" s="61" t="str">
        <f t="shared" si="11"/>
        <v>-</v>
      </c>
      <c r="T76" s="61"/>
      <c r="U76" s="61"/>
      <c r="V76" s="61"/>
      <c r="W76" s="61"/>
      <c r="X76" s="61"/>
      <c r="Y76" s="61"/>
    </row>
    <row r="77" spans="1:81" s="62" customFormat="1" ht="35.1" customHeight="1">
      <c r="A77" s="63"/>
      <c r="B77" s="83"/>
      <c r="C77" s="83"/>
      <c r="D77" s="81"/>
      <c r="E77" s="81"/>
      <c r="F77" s="81"/>
      <c r="G77" s="65"/>
      <c r="H77" s="85"/>
      <c r="I77" s="65"/>
      <c r="J77" s="18"/>
      <c r="K77" s="81"/>
      <c r="L77" s="81"/>
      <c r="M77" s="44">
        <v>0</v>
      </c>
      <c r="N77" s="44">
        <v>0</v>
      </c>
      <c r="O77" s="44">
        <v>0</v>
      </c>
      <c r="P77" s="17"/>
      <c r="Q77" s="60" t="str">
        <f t="shared" si="9"/>
        <v/>
      </c>
      <c r="R77" s="60" t="str">
        <f t="shared" si="10"/>
        <v/>
      </c>
      <c r="S77" s="61" t="str">
        <f t="shared" si="11"/>
        <v>-</v>
      </c>
      <c r="T77" s="61"/>
      <c r="U77" s="61"/>
      <c r="V77" s="61"/>
      <c r="W77" s="61"/>
      <c r="X77" s="61"/>
      <c r="Y77" s="61"/>
    </row>
    <row r="78" spans="1:81" s="62" customFormat="1" ht="35.1" customHeight="1">
      <c r="A78" s="63"/>
      <c r="B78" s="83"/>
      <c r="C78" s="83"/>
      <c r="D78" s="81"/>
      <c r="E78" s="81"/>
      <c r="F78" s="81"/>
      <c r="G78" s="65"/>
      <c r="H78" s="85"/>
      <c r="I78" s="65"/>
      <c r="J78" s="18"/>
      <c r="K78" s="81"/>
      <c r="L78" s="81"/>
      <c r="M78" s="44">
        <v>0</v>
      </c>
      <c r="N78" s="44">
        <v>0</v>
      </c>
      <c r="O78" s="44">
        <v>0</v>
      </c>
      <c r="P78" s="17"/>
      <c r="Q78" s="60" t="str">
        <f t="shared" si="9"/>
        <v/>
      </c>
      <c r="R78" s="60" t="str">
        <f t="shared" si="10"/>
        <v/>
      </c>
      <c r="S78" s="61" t="str">
        <f t="shared" si="11"/>
        <v>-</v>
      </c>
      <c r="T78" s="61"/>
      <c r="U78" s="61"/>
      <c r="V78" s="61"/>
      <c r="W78" s="61"/>
      <c r="X78" s="61"/>
      <c r="Y78" s="61"/>
    </row>
    <row r="79" spans="1:81" s="62" customFormat="1" ht="35.1" customHeight="1">
      <c r="A79" s="63"/>
      <c r="B79" s="83"/>
      <c r="C79" s="83"/>
      <c r="D79" s="81"/>
      <c r="E79" s="81"/>
      <c r="F79" s="81"/>
      <c r="G79" s="65"/>
      <c r="H79" s="85"/>
      <c r="I79" s="65"/>
      <c r="J79" s="18"/>
      <c r="K79" s="81"/>
      <c r="L79" s="81"/>
      <c r="M79" s="44">
        <v>0</v>
      </c>
      <c r="N79" s="44">
        <v>0</v>
      </c>
      <c r="O79" s="44">
        <v>0</v>
      </c>
      <c r="P79" s="17"/>
      <c r="Q79" s="60" t="str">
        <f t="shared" si="9"/>
        <v/>
      </c>
      <c r="R79" s="60" t="str">
        <f t="shared" si="10"/>
        <v/>
      </c>
      <c r="S79" s="61" t="str">
        <f t="shared" si="11"/>
        <v>-</v>
      </c>
      <c r="T79" s="61"/>
      <c r="U79" s="61"/>
      <c r="V79" s="61"/>
      <c r="W79" s="61"/>
      <c r="X79" s="61"/>
      <c r="Y79" s="61"/>
    </row>
    <row r="80" spans="1:81" s="62" customFormat="1" ht="35.1" customHeight="1">
      <c r="A80" s="63"/>
      <c r="B80" s="64"/>
      <c r="C80" s="64"/>
      <c r="D80" s="65"/>
      <c r="E80" s="65"/>
      <c r="F80" s="65"/>
      <c r="G80" s="65"/>
      <c r="H80" s="65"/>
      <c r="I80" s="65"/>
      <c r="J80" s="18"/>
      <c r="K80" s="65"/>
      <c r="L80" s="65"/>
      <c r="M80" s="44"/>
      <c r="N80" s="44"/>
      <c r="O80" s="44"/>
      <c r="P80" s="17"/>
      <c r="Q80" s="60" t="str">
        <f t="shared" si="9"/>
        <v/>
      </c>
      <c r="R80" s="60" t="str">
        <f t="shared" si="10"/>
        <v/>
      </c>
      <c r="S80" s="61" t="str">
        <f t="shared" si="11"/>
        <v>-</v>
      </c>
      <c r="T80" s="61"/>
      <c r="U80" s="61"/>
      <c r="V80" s="61"/>
      <c r="W80" s="61"/>
      <c r="X80" s="61"/>
      <c r="Y80" s="61"/>
    </row>
    <row r="81" spans="1:81" s="62" customFormat="1" ht="35.1" customHeight="1">
      <c r="A81" s="63"/>
      <c r="B81" s="64"/>
      <c r="C81" s="64"/>
      <c r="D81" s="65"/>
      <c r="E81" s="65"/>
      <c r="F81" s="65"/>
      <c r="G81" s="65"/>
      <c r="H81" s="65"/>
      <c r="I81" s="65"/>
      <c r="J81" s="18"/>
      <c r="K81" s="65"/>
      <c r="L81" s="65"/>
      <c r="M81" s="44"/>
      <c r="N81" s="44"/>
      <c r="O81" s="44"/>
      <c r="P81" s="17"/>
      <c r="Q81" s="60" t="str">
        <f t="shared" si="9"/>
        <v/>
      </c>
      <c r="R81" s="60" t="str">
        <f t="shared" si="10"/>
        <v/>
      </c>
      <c r="S81" s="61" t="str">
        <f t="shared" si="11"/>
        <v>-</v>
      </c>
      <c r="T81" s="61"/>
      <c r="U81" s="61"/>
      <c r="V81" s="61"/>
      <c r="W81" s="61"/>
      <c r="X81" s="61"/>
      <c r="Y81" s="61"/>
    </row>
    <row r="82" spans="1:81" s="62" customFormat="1" ht="35.1" customHeight="1">
      <c r="A82" s="63"/>
      <c r="B82" s="64"/>
      <c r="C82" s="64"/>
      <c r="D82" s="65"/>
      <c r="E82" s="65"/>
      <c r="F82" s="65"/>
      <c r="G82" s="65"/>
      <c r="H82" s="65"/>
      <c r="I82" s="65"/>
      <c r="J82" s="18"/>
      <c r="K82" s="65"/>
      <c r="L82" s="65"/>
      <c r="M82" s="44"/>
      <c r="N82" s="44"/>
      <c r="O82" s="44"/>
      <c r="P82" s="17"/>
      <c r="Q82" s="60" t="str">
        <f t="shared" si="9"/>
        <v/>
      </c>
      <c r="R82" s="60" t="str">
        <f t="shared" si="10"/>
        <v/>
      </c>
      <c r="S82" s="61" t="str">
        <f t="shared" si="11"/>
        <v>-</v>
      </c>
      <c r="T82" s="61"/>
      <c r="U82" s="61"/>
      <c r="V82" s="61"/>
      <c r="W82" s="61"/>
      <c r="X82" s="61"/>
      <c r="Y82" s="61"/>
    </row>
    <row r="83" spans="1:81" s="62" customFormat="1" ht="35.1" customHeight="1">
      <c r="A83" s="63"/>
      <c r="B83" s="64"/>
      <c r="C83" s="64"/>
      <c r="D83" s="65"/>
      <c r="E83" s="65"/>
      <c r="F83" s="65"/>
      <c r="G83" s="65"/>
      <c r="H83" s="65"/>
      <c r="I83" s="65"/>
      <c r="J83" s="18"/>
      <c r="K83" s="65"/>
      <c r="L83" s="65"/>
      <c r="M83" s="44"/>
      <c r="N83" s="44"/>
      <c r="O83" s="44"/>
      <c r="P83" s="17"/>
      <c r="Q83" s="60" t="str">
        <f t="shared" si="9"/>
        <v/>
      </c>
      <c r="R83" s="60" t="str">
        <f t="shared" si="10"/>
        <v/>
      </c>
      <c r="S83" s="61" t="str">
        <f t="shared" si="11"/>
        <v>-</v>
      </c>
      <c r="T83" s="61"/>
      <c r="U83" s="61"/>
      <c r="V83" s="61"/>
      <c r="W83" s="61"/>
      <c r="X83" s="61"/>
      <c r="Y83" s="61"/>
    </row>
    <row r="84" spans="1:81" s="62" customFormat="1" ht="35.1" customHeight="1">
      <c r="A84" s="63"/>
      <c r="B84" s="64"/>
      <c r="C84" s="64"/>
      <c r="D84" s="65"/>
      <c r="E84" s="65"/>
      <c r="F84" s="65"/>
      <c r="G84" s="65"/>
      <c r="H84" s="65"/>
      <c r="I84" s="65"/>
      <c r="J84" s="18"/>
      <c r="K84" s="65"/>
      <c r="L84" s="65"/>
      <c r="M84" s="44"/>
      <c r="N84" s="44"/>
      <c r="O84" s="44"/>
      <c r="P84" s="17"/>
      <c r="Q84" s="60" t="str">
        <f t="shared" si="9"/>
        <v/>
      </c>
      <c r="R84" s="60" t="str">
        <f t="shared" si="10"/>
        <v/>
      </c>
      <c r="S84" s="61" t="str">
        <f t="shared" si="11"/>
        <v>-</v>
      </c>
      <c r="T84" s="61"/>
      <c r="U84" s="61"/>
      <c r="V84" s="61"/>
      <c r="W84" s="61"/>
      <c r="X84" s="61"/>
      <c r="Y84" s="61"/>
    </row>
    <row r="85" spans="1:81" s="62" customFormat="1" ht="35.1" customHeight="1">
      <c r="A85" s="63"/>
      <c r="B85" s="64"/>
      <c r="C85" s="64"/>
      <c r="D85" s="65"/>
      <c r="E85" s="65"/>
      <c r="F85" s="65"/>
      <c r="G85" s="65"/>
      <c r="H85" s="65"/>
      <c r="I85" s="65"/>
      <c r="J85" s="18"/>
      <c r="K85" s="65"/>
      <c r="L85" s="65"/>
      <c r="M85" s="44"/>
      <c r="N85" s="44"/>
      <c r="O85" s="44"/>
      <c r="P85" s="17"/>
      <c r="Q85" s="60" t="str">
        <f t="shared" si="9"/>
        <v/>
      </c>
      <c r="R85" s="60" t="str">
        <f t="shared" si="10"/>
        <v/>
      </c>
      <c r="S85" s="61" t="str">
        <f t="shared" si="11"/>
        <v>-</v>
      </c>
      <c r="T85" s="61"/>
      <c r="U85" s="61"/>
      <c r="V85" s="61"/>
      <c r="W85" s="61"/>
      <c r="X85" s="61"/>
      <c r="Y85" s="61"/>
    </row>
    <row r="86" spans="1:81" s="62" customFormat="1" ht="35.1" customHeight="1">
      <c r="A86" s="63"/>
      <c r="B86" s="64"/>
      <c r="C86" s="64"/>
      <c r="D86" s="65"/>
      <c r="E86" s="65"/>
      <c r="F86" s="65"/>
      <c r="G86" s="65"/>
      <c r="H86" s="65"/>
      <c r="I86" s="65"/>
      <c r="J86" s="18"/>
      <c r="K86" s="65"/>
      <c r="L86" s="65"/>
      <c r="M86" s="44"/>
      <c r="N86" s="44"/>
      <c r="O86" s="44"/>
      <c r="P86" s="17"/>
      <c r="Q86" s="60" t="str">
        <f t="shared" si="9"/>
        <v/>
      </c>
      <c r="R86" s="60" t="str">
        <f t="shared" si="10"/>
        <v/>
      </c>
      <c r="S86" s="61" t="str">
        <f t="shared" si="11"/>
        <v>-</v>
      </c>
      <c r="T86" s="61"/>
      <c r="U86" s="61"/>
      <c r="V86" s="61"/>
      <c r="W86" s="61"/>
      <c r="X86" s="61"/>
      <c r="Y86" s="61"/>
    </row>
    <row r="87" spans="1:81" s="62" customFormat="1" ht="35.1" customHeight="1">
      <c r="A87" s="63"/>
      <c r="B87" s="64"/>
      <c r="C87" s="64"/>
      <c r="D87" s="65"/>
      <c r="E87" s="65"/>
      <c r="F87" s="65"/>
      <c r="G87" s="65"/>
      <c r="H87" s="65"/>
      <c r="I87" s="65"/>
      <c r="J87" s="18"/>
      <c r="K87" s="65"/>
      <c r="L87" s="65"/>
      <c r="M87" s="44"/>
      <c r="N87" s="44"/>
      <c r="O87" s="44"/>
      <c r="P87" s="17"/>
      <c r="Q87" s="60" t="str">
        <f t="shared" si="9"/>
        <v/>
      </c>
      <c r="R87" s="60" t="str">
        <f t="shared" si="10"/>
        <v/>
      </c>
      <c r="S87" s="61" t="str">
        <f t="shared" si="11"/>
        <v>-</v>
      </c>
      <c r="T87" s="61"/>
      <c r="U87" s="61"/>
      <c r="V87" s="61"/>
      <c r="W87" s="61"/>
      <c r="X87" s="61"/>
      <c r="Y87" s="61"/>
    </row>
    <row r="88" spans="1:81" s="62" customFormat="1" ht="35.1" customHeight="1">
      <c r="A88" s="77"/>
      <c r="B88" s="78"/>
      <c r="C88" s="78"/>
      <c r="D88" s="79"/>
      <c r="E88" s="79"/>
      <c r="F88" s="79"/>
      <c r="G88" s="79"/>
      <c r="H88" s="79"/>
      <c r="I88" s="79"/>
      <c r="J88" s="42"/>
      <c r="K88" s="79"/>
      <c r="L88" s="79"/>
      <c r="M88" s="90"/>
      <c r="N88" s="90"/>
      <c r="O88" s="90"/>
      <c r="P88" s="91"/>
      <c r="Q88" s="60" t="str">
        <f t="shared" si="9"/>
        <v/>
      </c>
      <c r="R88" s="60" t="str">
        <f t="shared" si="10"/>
        <v/>
      </c>
      <c r="S88" s="61" t="str">
        <f t="shared" si="11"/>
        <v>-</v>
      </c>
      <c r="T88" s="61"/>
      <c r="U88" s="61"/>
      <c r="V88" s="61"/>
      <c r="W88" s="61"/>
      <c r="X88" s="61"/>
      <c r="Y88" s="61"/>
    </row>
    <row r="89" spans="1:81" s="73" customFormat="1" ht="35.1" customHeight="1">
      <c r="A89" s="66" t="s">
        <v>41</v>
      </c>
      <c r="B89" s="67"/>
      <c r="C89" s="67"/>
      <c r="D89" s="68"/>
      <c r="E89" s="68"/>
      <c r="F89" s="68"/>
      <c r="G89" s="69"/>
      <c r="H89" s="69">
        <f>SUM(H69:H88)</f>
        <v>0</v>
      </c>
      <c r="I89" s="69">
        <f>SUM(I69:I88)</f>
        <v>0</v>
      </c>
      <c r="J89" s="69">
        <f>SUM(J69:J88)</f>
        <v>0</v>
      </c>
      <c r="K89" s="70"/>
      <c r="L89" s="70"/>
      <c r="M89" s="70"/>
      <c r="N89" s="70"/>
      <c r="O89" s="70"/>
      <c r="P89" s="71"/>
      <c r="Q89" s="60" t="str">
        <f t="shared" si="9"/>
        <v/>
      </c>
      <c r="R89" s="60" t="str">
        <f t="shared" si="10"/>
        <v/>
      </c>
      <c r="S89" s="61"/>
      <c r="T89" s="61"/>
      <c r="U89" s="61"/>
      <c r="V89" s="61"/>
      <c r="W89" s="61"/>
      <c r="X89" s="61"/>
      <c r="Y89" s="61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  <c r="BY89" s="72"/>
      <c r="BZ89" s="72"/>
      <c r="CA89" s="72"/>
      <c r="CB89" s="72"/>
      <c r="CC89" s="72"/>
    </row>
    <row r="90" spans="1:81" s="62" customFormat="1" ht="35.1" customHeight="1">
      <c r="A90" s="87"/>
      <c r="B90" s="82"/>
      <c r="C90" s="82"/>
      <c r="D90" s="80"/>
      <c r="E90" s="80"/>
      <c r="F90" s="80"/>
      <c r="G90" s="59"/>
      <c r="H90" s="19"/>
      <c r="I90" s="59"/>
      <c r="J90" s="19">
        <f>I90-H90</f>
        <v>0</v>
      </c>
      <c r="K90" s="80"/>
      <c r="L90" s="80"/>
      <c r="M90" s="43"/>
      <c r="N90" s="43"/>
      <c r="O90" s="43"/>
      <c r="P90" s="16"/>
      <c r="Q90" s="60" t="str">
        <f>CONCATENATE(D90,K90)</f>
        <v/>
      </c>
      <c r="R90" s="60" t="str">
        <f>CONCATENATE(E90,K90)</f>
        <v/>
      </c>
      <c r="S90" s="61" t="str">
        <f>IF(G90&gt;=I90,"-","err")</f>
        <v>-</v>
      </c>
      <c r="T90" s="61"/>
      <c r="U90" s="61"/>
      <c r="V90" s="61"/>
      <c r="W90" s="61"/>
      <c r="X90" s="61"/>
      <c r="Y90" s="61"/>
    </row>
    <row r="91" spans="1:81" s="62" customFormat="1" ht="35.1" customHeight="1">
      <c r="A91" s="88"/>
      <c r="B91" s="83"/>
      <c r="C91" s="83"/>
      <c r="D91" s="65"/>
      <c r="E91" s="65"/>
      <c r="F91" s="65"/>
      <c r="G91" s="65"/>
      <c r="H91" s="18"/>
      <c r="I91" s="65"/>
      <c r="J91" s="18">
        <f>I91-H91</f>
        <v>0</v>
      </c>
      <c r="K91" s="65"/>
      <c r="L91" s="65"/>
      <c r="M91" s="44"/>
      <c r="N91" s="44">
        <v>0</v>
      </c>
      <c r="O91" s="44">
        <v>0</v>
      </c>
      <c r="P91" s="17"/>
      <c r="Q91" s="60" t="str">
        <f t="shared" ref="Q91:Q110" si="12">CONCATENATE(D91,K91)</f>
        <v/>
      </c>
      <c r="R91" s="60" t="str">
        <f t="shared" ref="R91:R110" si="13">CONCATENATE(E91,K91)</f>
        <v/>
      </c>
      <c r="S91" s="61" t="str">
        <f t="shared" ref="S91:S109" si="14">IF(G91&gt;=I91,"-","err")</f>
        <v>-</v>
      </c>
      <c r="T91" s="61"/>
      <c r="U91" s="61"/>
      <c r="V91" s="61"/>
      <c r="W91" s="61"/>
      <c r="X91" s="61"/>
      <c r="Y91" s="61"/>
    </row>
    <row r="92" spans="1:81" s="62" customFormat="1" ht="35.1" customHeight="1">
      <c r="A92" s="88"/>
      <c r="B92" s="86"/>
      <c r="C92" s="86"/>
      <c r="D92" s="65"/>
      <c r="E92" s="65"/>
      <c r="F92" s="65"/>
      <c r="G92" s="65"/>
      <c r="H92" s="18"/>
      <c r="I92" s="65"/>
      <c r="J92" s="18">
        <f>I92-H92</f>
        <v>0</v>
      </c>
      <c r="K92" s="65"/>
      <c r="L92" s="65"/>
      <c r="M92" s="44"/>
      <c r="N92" s="44">
        <v>0</v>
      </c>
      <c r="O92" s="44">
        <v>0</v>
      </c>
      <c r="P92" s="17"/>
      <c r="Q92" s="60" t="str">
        <f t="shared" si="12"/>
        <v/>
      </c>
      <c r="R92" s="60" t="str">
        <f t="shared" si="13"/>
        <v/>
      </c>
      <c r="S92" s="61" t="str">
        <f t="shared" si="14"/>
        <v>-</v>
      </c>
      <c r="T92" s="61"/>
      <c r="U92" s="61"/>
      <c r="V92" s="61"/>
      <c r="W92" s="61"/>
      <c r="X92" s="61"/>
      <c r="Y92" s="61"/>
    </row>
    <row r="93" spans="1:81" s="62" customFormat="1" ht="35.1" customHeight="1">
      <c r="A93" s="88"/>
      <c r="B93" s="86"/>
      <c r="C93" s="86"/>
      <c r="D93" s="65"/>
      <c r="E93" s="65"/>
      <c r="F93" s="65"/>
      <c r="G93" s="65"/>
      <c r="H93" s="18"/>
      <c r="I93" s="65"/>
      <c r="J93" s="18">
        <f>I93-H93</f>
        <v>0</v>
      </c>
      <c r="K93" s="65"/>
      <c r="L93" s="65"/>
      <c r="M93" s="44"/>
      <c r="N93" s="44">
        <v>0</v>
      </c>
      <c r="O93" s="44">
        <v>0</v>
      </c>
      <c r="P93" s="17"/>
      <c r="Q93" s="60" t="str">
        <f t="shared" si="12"/>
        <v/>
      </c>
      <c r="R93" s="60" t="str">
        <f t="shared" si="13"/>
        <v/>
      </c>
      <c r="S93" s="61" t="str">
        <f t="shared" si="14"/>
        <v>-</v>
      </c>
      <c r="T93" s="61"/>
      <c r="U93" s="61"/>
      <c r="V93" s="61"/>
      <c r="W93" s="61"/>
      <c r="X93" s="61"/>
      <c r="Y93" s="61"/>
    </row>
    <row r="94" spans="1:81" s="62" customFormat="1" ht="35.1" customHeight="1">
      <c r="A94" s="88"/>
      <c r="B94" s="86"/>
      <c r="C94" s="86"/>
      <c r="D94" s="65"/>
      <c r="E94" s="65"/>
      <c r="F94" s="65"/>
      <c r="G94" s="65"/>
      <c r="H94" s="18"/>
      <c r="I94" s="65"/>
      <c r="J94" s="18">
        <f>I94-H94</f>
        <v>0</v>
      </c>
      <c r="K94" s="65"/>
      <c r="L94" s="65"/>
      <c r="M94" s="44"/>
      <c r="N94" s="44">
        <v>0</v>
      </c>
      <c r="O94" s="44">
        <v>0</v>
      </c>
      <c r="P94" s="17"/>
      <c r="Q94" s="60" t="str">
        <f t="shared" si="12"/>
        <v/>
      </c>
      <c r="R94" s="60" t="str">
        <f t="shared" si="13"/>
        <v/>
      </c>
      <c r="S94" s="61" t="str">
        <f t="shared" si="14"/>
        <v>-</v>
      </c>
      <c r="T94" s="61"/>
      <c r="U94" s="61"/>
      <c r="V94" s="61"/>
      <c r="W94" s="61"/>
      <c r="X94" s="61"/>
      <c r="Y94" s="61"/>
    </row>
    <row r="95" spans="1:81" s="62" customFormat="1" ht="35.1" customHeight="1">
      <c r="A95" s="63"/>
      <c r="B95" s="83"/>
      <c r="C95" s="83"/>
      <c r="D95" s="65"/>
      <c r="E95" s="65"/>
      <c r="F95" s="65"/>
      <c r="G95" s="65"/>
      <c r="H95" s="76"/>
      <c r="I95" s="65"/>
      <c r="J95" s="18"/>
      <c r="K95" s="65"/>
      <c r="L95" s="65"/>
      <c r="M95" s="44"/>
      <c r="N95" s="44">
        <v>0</v>
      </c>
      <c r="O95" s="44">
        <v>0</v>
      </c>
      <c r="P95" s="17"/>
      <c r="Q95" s="60" t="str">
        <f t="shared" si="12"/>
        <v/>
      </c>
      <c r="R95" s="60" t="str">
        <f t="shared" si="13"/>
        <v/>
      </c>
      <c r="S95" s="61" t="str">
        <f t="shared" si="14"/>
        <v>-</v>
      </c>
      <c r="T95" s="61"/>
      <c r="U95" s="61"/>
      <c r="V95" s="61"/>
      <c r="W95" s="61"/>
      <c r="X95" s="61"/>
      <c r="Y95" s="61"/>
    </row>
    <row r="96" spans="1:81" s="62" customFormat="1" ht="35.1" customHeight="1">
      <c r="A96" s="63"/>
      <c r="B96" s="83"/>
      <c r="C96" s="83"/>
      <c r="D96" s="81"/>
      <c r="E96" s="81"/>
      <c r="F96" s="81"/>
      <c r="G96" s="65"/>
      <c r="H96" s="85"/>
      <c r="I96" s="65"/>
      <c r="J96" s="18"/>
      <c r="K96" s="81"/>
      <c r="L96" s="81"/>
      <c r="M96" s="44"/>
      <c r="N96" s="44"/>
      <c r="O96" s="44"/>
      <c r="P96" s="17"/>
      <c r="Q96" s="60" t="str">
        <f t="shared" si="12"/>
        <v/>
      </c>
      <c r="R96" s="60" t="str">
        <f t="shared" si="13"/>
        <v/>
      </c>
      <c r="S96" s="61" t="str">
        <f t="shared" si="14"/>
        <v>-</v>
      </c>
      <c r="T96" s="61"/>
      <c r="U96" s="61"/>
      <c r="V96" s="61"/>
      <c r="W96" s="61"/>
      <c r="X96" s="61"/>
      <c r="Y96" s="61"/>
    </row>
    <row r="97" spans="1:81" s="62" customFormat="1" ht="35.1" customHeight="1">
      <c r="A97" s="63"/>
      <c r="B97" s="83"/>
      <c r="C97" s="83"/>
      <c r="D97" s="81"/>
      <c r="E97" s="81"/>
      <c r="F97" s="81"/>
      <c r="G97" s="65"/>
      <c r="H97" s="85"/>
      <c r="I97" s="65"/>
      <c r="J97" s="18"/>
      <c r="K97" s="81"/>
      <c r="L97" s="81"/>
      <c r="M97" s="44"/>
      <c r="N97" s="44">
        <v>0</v>
      </c>
      <c r="O97" s="44">
        <v>0</v>
      </c>
      <c r="P97" s="17"/>
      <c r="Q97" s="60" t="str">
        <f t="shared" si="12"/>
        <v/>
      </c>
      <c r="R97" s="60" t="str">
        <f t="shared" si="13"/>
        <v/>
      </c>
      <c r="S97" s="61" t="str">
        <f t="shared" si="14"/>
        <v>-</v>
      </c>
      <c r="T97" s="61"/>
      <c r="U97" s="61"/>
      <c r="V97" s="61"/>
      <c r="W97" s="61"/>
      <c r="X97" s="61"/>
      <c r="Y97" s="61"/>
    </row>
    <row r="98" spans="1:81" s="62" customFormat="1" ht="35.1" customHeight="1">
      <c r="A98" s="63"/>
      <c r="B98" s="83"/>
      <c r="C98" s="83"/>
      <c r="D98" s="81"/>
      <c r="E98" s="81"/>
      <c r="F98" s="81"/>
      <c r="G98" s="65"/>
      <c r="H98" s="85"/>
      <c r="I98" s="65"/>
      <c r="J98" s="18"/>
      <c r="K98" s="81"/>
      <c r="L98" s="81"/>
      <c r="M98" s="44">
        <v>0</v>
      </c>
      <c r="N98" s="44">
        <v>0</v>
      </c>
      <c r="O98" s="44">
        <v>0</v>
      </c>
      <c r="P98" s="17"/>
      <c r="Q98" s="60" t="str">
        <f t="shared" si="12"/>
        <v/>
      </c>
      <c r="R98" s="60" t="str">
        <f t="shared" si="13"/>
        <v/>
      </c>
      <c r="S98" s="61" t="str">
        <f t="shared" si="14"/>
        <v>-</v>
      </c>
      <c r="T98" s="61"/>
      <c r="U98" s="61"/>
      <c r="V98" s="61"/>
      <c r="W98" s="61"/>
      <c r="X98" s="61"/>
      <c r="Y98" s="61"/>
    </row>
    <row r="99" spans="1:81" s="62" customFormat="1" ht="35.1" customHeight="1">
      <c r="A99" s="63"/>
      <c r="B99" s="83"/>
      <c r="C99" s="83"/>
      <c r="D99" s="81"/>
      <c r="E99" s="81"/>
      <c r="F99" s="81"/>
      <c r="G99" s="65"/>
      <c r="H99" s="85"/>
      <c r="I99" s="65"/>
      <c r="J99" s="18"/>
      <c r="K99" s="81"/>
      <c r="L99" s="81"/>
      <c r="M99" s="44">
        <v>0</v>
      </c>
      <c r="N99" s="44">
        <v>0</v>
      </c>
      <c r="O99" s="44">
        <v>0</v>
      </c>
      <c r="P99" s="17"/>
      <c r="Q99" s="60" t="str">
        <f t="shared" si="12"/>
        <v/>
      </c>
      <c r="R99" s="60" t="str">
        <f t="shared" si="13"/>
        <v/>
      </c>
      <c r="S99" s="61" t="str">
        <f t="shared" si="14"/>
        <v>-</v>
      </c>
      <c r="T99" s="61"/>
      <c r="U99" s="61"/>
      <c r="V99" s="61"/>
      <c r="W99" s="61"/>
      <c r="X99" s="61"/>
      <c r="Y99" s="61"/>
    </row>
    <row r="100" spans="1:81" s="62" customFormat="1" ht="35.1" customHeight="1">
      <c r="A100" s="63"/>
      <c r="B100" s="83"/>
      <c r="C100" s="83"/>
      <c r="D100" s="81"/>
      <c r="E100" s="81"/>
      <c r="F100" s="81"/>
      <c r="G100" s="65"/>
      <c r="H100" s="85"/>
      <c r="I100" s="65"/>
      <c r="J100" s="18"/>
      <c r="K100" s="81"/>
      <c r="L100" s="81"/>
      <c r="M100" s="44">
        <v>0</v>
      </c>
      <c r="N100" s="44">
        <v>0</v>
      </c>
      <c r="O100" s="44">
        <v>0</v>
      </c>
      <c r="P100" s="17"/>
      <c r="Q100" s="60" t="str">
        <f t="shared" si="12"/>
        <v/>
      </c>
      <c r="R100" s="60" t="str">
        <f t="shared" si="13"/>
        <v/>
      </c>
      <c r="S100" s="61" t="str">
        <f t="shared" si="14"/>
        <v>-</v>
      </c>
      <c r="T100" s="61"/>
      <c r="U100" s="61"/>
      <c r="V100" s="61"/>
      <c r="W100" s="61"/>
      <c r="X100" s="61"/>
      <c r="Y100" s="61"/>
    </row>
    <row r="101" spans="1:81" s="62" customFormat="1" ht="35.1" customHeight="1">
      <c r="A101" s="63"/>
      <c r="B101" s="64"/>
      <c r="C101" s="64"/>
      <c r="D101" s="65"/>
      <c r="E101" s="65"/>
      <c r="F101" s="65"/>
      <c r="G101" s="65"/>
      <c r="H101" s="65"/>
      <c r="I101" s="65"/>
      <c r="J101" s="18"/>
      <c r="K101" s="65"/>
      <c r="L101" s="65"/>
      <c r="M101" s="44"/>
      <c r="N101" s="44"/>
      <c r="O101" s="44"/>
      <c r="P101" s="17"/>
      <c r="Q101" s="60" t="str">
        <f t="shared" si="12"/>
        <v/>
      </c>
      <c r="R101" s="60" t="str">
        <f t="shared" si="13"/>
        <v/>
      </c>
      <c r="S101" s="61" t="str">
        <f t="shared" si="14"/>
        <v>-</v>
      </c>
      <c r="T101" s="61"/>
      <c r="U101" s="61"/>
      <c r="V101" s="61"/>
      <c r="W101" s="61"/>
      <c r="X101" s="61"/>
      <c r="Y101" s="61"/>
    </row>
    <row r="102" spans="1:81" s="62" customFormat="1" ht="35.1" customHeight="1">
      <c r="A102" s="63"/>
      <c r="B102" s="64"/>
      <c r="C102" s="64"/>
      <c r="D102" s="65"/>
      <c r="E102" s="65"/>
      <c r="F102" s="65"/>
      <c r="G102" s="65"/>
      <c r="H102" s="65"/>
      <c r="I102" s="65"/>
      <c r="J102" s="18"/>
      <c r="K102" s="65"/>
      <c r="L102" s="65"/>
      <c r="M102" s="44"/>
      <c r="N102" s="44"/>
      <c r="O102" s="44"/>
      <c r="P102" s="17"/>
      <c r="Q102" s="60" t="str">
        <f t="shared" si="12"/>
        <v/>
      </c>
      <c r="R102" s="60" t="str">
        <f t="shared" si="13"/>
        <v/>
      </c>
      <c r="S102" s="61" t="str">
        <f t="shared" si="14"/>
        <v>-</v>
      </c>
      <c r="T102" s="61"/>
      <c r="U102" s="61"/>
      <c r="V102" s="61"/>
      <c r="W102" s="61"/>
      <c r="X102" s="61"/>
      <c r="Y102" s="61"/>
    </row>
    <row r="103" spans="1:81" s="62" customFormat="1" ht="35.1" customHeight="1">
      <c r="A103" s="63"/>
      <c r="B103" s="64"/>
      <c r="C103" s="64"/>
      <c r="D103" s="65"/>
      <c r="E103" s="65"/>
      <c r="F103" s="65"/>
      <c r="G103" s="65"/>
      <c r="H103" s="65"/>
      <c r="I103" s="65"/>
      <c r="J103" s="18"/>
      <c r="K103" s="65"/>
      <c r="L103" s="65"/>
      <c r="M103" s="44"/>
      <c r="N103" s="44"/>
      <c r="O103" s="44"/>
      <c r="P103" s="17"/>
      <c r="Q103" s="60" t="str">
        <f t="shared" si="12"/>
        <v/>
      </c>
      <c r="R103" s="60" t="str">
        <f t="shared" si="13"/>
        <v/>
      </c>
      <c r="S103" s="61" t="str">
        <f t="shared" si="14"/>
        <v>-</v>
      </c>
      <c r="T103" s="61"/>
      <c r="U103" s="61"/>
      <c r="V103" s="61"/>
      <c r="W103" s="61"/>
      <c r="X103" s="61"/>
      <c r="Y103" s="61"/>
    </row>
    <row r="104" spans="1:81" s="62" customFormat="1" ht="35.1" customHeight="1">
      <c r="A104" s="63"/>
      <c r="B104" s="64"/>
      <c r="C104" s="64"/>
      <c r="D104" s="65"/>
      <c r="E104" s="65"/>
      <c r="F104" s="65"/>
      <c r="G104" s="65"/>
      <c r="H104" s="65"/>
      <c r="I104" s="65"/>
      <c r="J104" s="18"/>
      <c r="K104" s="65"/>
      <c r="L104" s="65"/>
      <c r="M104" s="44"/>
      <c r="N104" s="44"/>
      <c r="O104" s="44"/>
      <c r="P104" s="17"/>
      <c r="Q104" s="60" t="str">
        <f t="shared" si="12"/>
        <v/>
      </c>
      <c r="R104" s="60" t="str">
        <f t="shared" si="13"/>
        <v/>
      </c>
      <c r="S104" s="61" t="str">
        <f t="shared" si="14"/>
        <v>-</v>
      </c>
      <c r="T104" s="61"/>
      <c r="U104" s="61"/>
      <c r="V104" s="61"/>
      <c r="W104" s="61"/>
      <c r="X104" s="61"/>
      <c r="Y104" s="61"/>
    </row>
    <row r="105" spans="1:81" s="62" customFormat="1" ht="35.1" customHeight="1">
      <c r="A105" s="63"/>
      <c r="B105" s="64"/>
      <c r="C105" s="64"/>
      <c r="D105" s="65"/>
      <c r="E105" s="65"/>
      <c r="F105" s="65"/>
      <c r="G105" s="65"/>
      <c r="H105" s="65"/>
      <c r="I105" s="65"/>
      <c r="J105" s="18"/>
      <c r="K105" s="65"/>
      <c r="L105" s="65"/>
      <c r="M105" s="44"/>
      <c r="N105" s="44"/>
      <c r="O105" s="44"/>
      <c r="P105" s="17"/>
      <c r="Q105" s="60" t="str">
        <f t="shared" si="12"/>
        <v/>
      </c>
      <c r="R105" s="60" t="str">
        <f t="shared" si="13"/>
        <v/>
      </c>
      <c r="S105" s="61" t="str">
        <f t="shared" si="14"/>
        <v>-</v>
      </c>
      <c r="T105" s="61"/>
      <c r="U105" s="61"/>
      <c r="V105" s="61"/>
      <c r="W105" s="61"/>
      <c r="X105" s="61"/>
      <c r="Y105" s="61"/>
    </row>
    <row r="106" spans="1:81" s="62" customFormat="1" ht="35.1" customHeight="1">
      <c r="A106" s="63"/>
      <c r="B106" s="64"/>
      <c r="C106" s="64"/>
      <c r="D106" s="65"/>
      <c r="E106" s="65"/>
      <c r="F106" s="65"/>
      <c r="G106" s="65"/>
      <c r="H106" s="65"/>
      <c r="I106" s="65"/>
      <c r="J106" s="18"/>
      <c r="K106" s="65"/>
      <c r="L106" s="65"/>
      <c r="M106" s="44"/>
      <c r="N106" s="44"/>
      <c r="O106" s="44"/>
      <c r="P106" s="17"/>
      <c r="Q106" s="60" t="str">
        <f t="shared" si="12"/>
        <v/>
      </c>
      <c r="R106" s="60" t="str">
        <f t="shared" si="13"/>
        <v/>
      </c>
      <c r="S106" s="61" t="str">
        <f t="shared" si="14"/>
        <v>-</v>
      </c>
      <c r="T106" s="61"/>
      <c r="U106" s="61"/>
      <c r="V106" s="61"/>
      <c r="W106" s="61"/>
      <c r="X106" s="61"/>
      <c r="Y106" s="61"/>
    </row>
    <row r="107" spans="1:81" s="62" customFormat="1" ht="35.1" customHeight="1">
      <c r="A107" s="63"/>
      <c r="B107" s="64"/>
      <c r="C107" s="64"/>
      <c r="D107" s="65"/>
      <c r="E107" s="65"/>
      <c r="F107" s="65"/>
      <c r="G107" s="65"/>
      <c r="H107" s="65"/>
      <c r="I107" s="65"/>
      <c r="J107" s="18"/>
      <c r="K107" s="65"/>
      <c r="L107" s="65"/>
      <c r="M107" s="44"/>
      <c r="N107" s="44"/>
      <c r="O107" s="44"/>
      <c r="P107" s="17"/>
      <c r="Q107" s="60" t="str">
        <f t="shared" si="12"/>
        <v/>
      </c>
      <c r="R107" s="60" t="str">
        <f t="shared" si="13"/>
        <v/>
      </c>
      <c r="S107" s="61" t="str">
        <f t="shared" si="14"/>
        <v>-</v>
      </c>
      <c r="T107" s="61"/>
      <c r="U107" s="61"/>
      <c r="V107" s="61"/>
      <c r="W107" s="61"/>
      <c r="X107" s="61"/>
      <c r="Y107" s="61"/>
    </row>
    <row r="108" spans="1:81" s="62" customFormat="1" ht="35.1" customHeight="1">
      <c r="A108" s="63"/>
      <c r="B108" s="64"/>
      <c r="C108" s="64"/>
      <c r="D108" s="65"/>
      <c r="E108" s="65"/>
      <c r="F108" s="65"/>
      <c r="G108" s="65"/>
      <c r="H108" s="65"/>
      <c r="I108" s="65"/>
      <c r="J108" s="18"/>
      <c r="K108" s="65"/>
      <c r="L108" s="65"/>
      <c r="M108" s="44"/>
      <c r="N108" s="44"/>
      <c r="O108" s="44"/>
      <c r="P108" s="17"/>
      <c r="Q108" s="60" t="str">
        <f t="shared" si="12"/>
        <v/>
      </c>
      <c r="R108" s="60" t="str">
        <f t="shared" si="13"/>
        <v/>
      </c>
      <c r="S108" s="61" t="str">
        <f t="shared" si="14"/>
        <v>-</v>
      </c>
      <c r="T108" s="61"/>
      <c r="U108" s="61"/>
      <c r="V108" s="61"/>
      <c r="W108" s="61"/>
      <c r="X108" s="61"/>
      <c r="Y108" s="61"/>
    </row>
    <row r="109" spans="1:81" s="62" customFormat="1" ht="35.1" customHeight="1">
      <c r="A109" s="77"/>
      <c r="B109" s="78"/>
      <c r="C109" s="78"/>
      <c r="D109" s="79"/>
      <c r="E109" s="79"/>
      <c r="F109" s="79"/>
      <c r="G109" s="79"/>
      <c r="H109" s="79"/>
      <c r="I109" s="79"/>
      <c r="J109" s="42"/>
      <c r="K109" s="79"/>
      <c r="L109" s="79"/>
      <c r="M109" s="90"/>
      <c r="N109" s="90"/>
      <c r="O109" s="90"/>
      <c r="P109" s="91"/>
      <c r="Q109" s="60" t="str">
        <f t="shared" si="12"/>
        <v/>
      </c>
      <c r="R109" s="60" t="str">
        <f t="shared" si="13"/>
        <v/>
      </c>
      <c r="S109" s="61" t="str">
        <f t="shared" si="14"/>
        <v>-</v>
      </c>
      <c r="T109" s="61"/>
      <c r="U109" s="61"/>
      <c r="V109" s="61"/>
      <c r="W109" s="61"/>
      <c r="X109" s="61"/>
      <c r="Y109" s="61"/>
    </row>
    <row r="110" spans="1:81" s="73" customFormat="1" ht="35.1" customHeight="1">
      <c r="A110" s="66" t="s">
        <v>41</v>
      </c>
      <c r="B110" s="67"/>
      <c r="C110" s="67"/>
      <c r="D110" s="68"/>
      <c r="E110" s="68"/>
      <c r="F110" s="68"/>
      <c r="G110" s="69"/>
      <c r="H110" s="69">
        <f>SUM(H90:H109)</f>
        <v>0</v>
      </c>
      <c r="I110" s="69">
        <f>SUM(I90:I109)</f>
        <v>0</v>
      </c>
      <c r="J110" s="69">
        <f>SUM(J90:J109)</f>
        <v>0</v>
      </c>
      <c r="K110" s="70"/>
      <c r="L110" s="70"/>
      <c r="M110" s="70"/>
      <c r="N110" s="70"/>
      <c r="O110" s="70"/>
      <c r="P110" s="71"/>
      <c r="Q110" s="60" t="str">
        <f t="shared" si="12"/>
        <v/>
      </c>
      <c r="R110" s="60" t="str">
        <f t="shared" si="13"/>
        <v/>
      </c>
      <c r="S110" s="61"/>
      <c r="T110" s="61"/>
      <c r="U110" s="61"/>
      <c r="V110" s="61"/>
      <c r="W110" s="61"/>
      <c r="X110" s="61"/>
      <c r="Y110" s="61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  <c r="BY110" s="72"/>
      <c r="BZ110" s="72"/>
      <c r="CA110" s="72"/>
      <c r="CB110" s="72"/>
      <c r="CC110" s="72"/>
    </row>
    <row r="111" spans="1:81" s="62" customFormat="1" ht="35.1" customHeight="1">
      <c r="A111" s="87"/>
      <c r="B111" s="82"/>
      <c r="C111" s="82"/>
      <c r="D111" s="80"/>
      <c r="E111" s="80"/>
      <c r="F111" s="80"/>
      <c r="G111" s="59"/>
      <c r="H111" s="19"/>
      <c r="I111" s="59"/>
      <c r="J111" s="19">
        <f>I111-H111</f>
        <v>0</v>
      </c>
      <c r="K111" s="80"/>
      <c r="L111" s="80"/>
      <c r="M111" s="43"/>
      <c r="N111" s="43"/>
      <c r="O111" s="43"/>
      <c r="P111" s="16"/>
      <c r="Q111" s="60" t="str">
        <f>CONCATENATE(D111,K111)</f>
        <v/>
      </c>
      <c r="R111" s="60" t="str">
        <f>CONCATENATE(E111,K111)</f>
        <v/>
      </c>
      <c r="S111" s="61" t="str">
        <f>IF(G111&gt;=I111,"-","err")</f>
        <v>-</v>
      </c>
      <c r="T111" s="61"/>
      <c r="U111" s="61"/>
      <c r="V111" s="61"/>
      <c r="W111" s="61"/>
      <c r="X111" s="61"/>
      <c r="Y111" s="61"/>
    </row>
    <row r="112" spans="1:81" s="62" customFormat="1" ht="35.1" customHeight="1">
      <c r="A112" s="88"/>
      <c r="B112" s="83"/>
      <c r="C112" s="83"/>
      <c r="D112" s="65"/>
      <c r="E112" s="65"/>
      <c r="F112" s="65"/>
      <c r="G112" s="65"/>
      <c r="H112" s="18"/>
      <c r="I112" s="65"/>
      <c r="J112" s="18">
        <f>I112-H112</f>
        <v>0</v>
      </c>
      <c r="K112" s="65"/>
      <c r="L112" s="65"/>
      <c r="M112" s="44"/>
      <c r="N112" s="44">
        <v>0</v>
      </c>
      <c r="O112" s="44">
        <v>0</v>
      </c>
      <c r="P112" s="17"/>
      <c r="Q112" s="60" t="str">
        <f t="shared" ref="Q112:Q131" si="15">CONCATENATE(D112,K112)</f>
        <v/>
      </c>
      <c r="R112" s="60" t="str">
        <f t="shared" ref="R112:R131" si="16">CONCATENATE(E112,K112)</f>
        <v/>
      </c>
      <c r="S112" s="61" t="str">
        <f t="shared" ref="S112:S130" si="17">IF(G112&gt;=I112,"-","err")</f>
        <v>-</v>
      </c>
      <c r="T112" s="61"/>
      <c r="U112" s="61"/>
      <c r="V112" s="61"/>
      <c r="W112" s="61"/>
      <c r="X112" s="61"/>
      <c r="Y112" s="61"/>
    </row>
    <row r="113" spans="1:25" s="62" customFormat="1" ht="35.1" customHeight="1">
      <c r="A113" s="88"/>
      <c r="B113" s="86"/>
      <c r="C113" s="86"/>
      <c r="D113" s="65"/>
      <c r="E113" s="65"/>
      <c r="F113" s="65"/>
      <c r="G113" s="65"/>
      <c r="H113" s="18"/>
      <c r="I113" s="65"/>
      <c r="J113" s="18">
        <f>I113-H113</f>
        <v>0</v>
      </c>
      <c r="K113" s="65"/>
      <c r="L113" s="65"/>
      <c r="M113" s="44"/>
      <c r="N113" s="44">
        <v>0</v>
      </c>
      <c r="O113" s="44">
        <v>0</v>
      </c>
      <c r="P113" s="17"/>
      <c r="Q113" s="60" t="str">
        <f t="shared" si="15"/>
        <v/>
      </c>
      <c r="R113" s="60" t="str">
        <f t="shared" si="16"/>
        <v/>
      </c>
      <c r="S113" s="61" t="str">
        <f t="shared" si="17"/>
        <v>-</v>
      </c>
      <c r="T113" s="61"/>
      <c r="U113" s="61"/>
      <c r="V113" s="61"/>
      <c r="W113" s="61"/>
      <c r="X113" s="61"/>
      <c r="Y113" s="61"/>
    </row>
    <row r="114" spans="1:25" s="62" customFormat="1" ht="35.1" customHeight="1">
      <c r="A114" s="88"/>
      <c r="B114" s="86"/>
      <c r="C114" s="86"/>
      <c r="D114" s="65"/>
      <c r="E114" s="65"/>
      <c r="F114" s="65"/>
      <c r="G114" s="65"/>
      <c r="H114" s="18"/>
      <c r="I114" s="65"/>
      <c r="J114" s="18">
        <f>I114-H114</f>
        <v>0</v>
      </c>
      <c r="K114" s="65"/>
      <c r="L114" s="65"/>
      <c r="M114" s="44"/>
      <c r="N114" s="44">
        <v>0</v>
      </c>
      <c r="O114" s="44">
        <v>0</v>
      </c>
      <c r="P114" s="17"/>
      <c r="Q114" s="60" t="str">
        <f t="shared" si="15"/>
        <v/>
      </c>
      <c r="R114" s="60" t="str">
        <f t="shared" si="16"/>
        <v/>
      </c>
      <c r="S114" s="61" t="str">
        <f t="shared" si="17"/>
        <v>-</v>
      </c>
      <c r="T114" s="61"/>
      <c r="U114" s="61"/>
      <c r="V114" s="61"/>
      <c r="W114" s="61"/>
      <c r="X114" s="61"/>
      <c r="Y114" s="61"/>
    </row>
    <row r="115" spans="1:25" s="62" customFormat="1" ht="35.1" customHeight="1">
      <c r="A115" s="88"/>
      <c r="B115" s="86"/>
      <c r="C115" s="86"/>
      <c r="D115" s="65"/>
      <c r="E115" s="65"/>
      <c r="F115" s="65"/>
      <c r="G115" s="65"/>
      <c r="H115" s="18"/>
      <c r="I115" s="65"/>
      <c r="J115" s="18">
        <f>I115-H115</f>
        <v>0</v>
      </c>
      <c r="K115" s="65"/>
      <c r="L115" s="65"/>
      <c r="M115" s="44"/>
      <c r="N115" s="44">
        <v>0</v>
      </c>
      <c r="O115" s="44">
        <v>0</v>
      </c>
      <c r="P115" s="17"/>
      <c r="Q115" s="60" t="str">
        <f t="shared" si="15"/>
        <v/>
      </c>
      <c r="R115" s="60" t="str">
        <f t="shared" si="16"/>
        <v/>
      </c>
      <c r="S115" s="61" t="str">
        <f t="shared" si="17"/>
        <v>-</v>
      </c>
      <c r="T115" s="61"/>
      <c r="U115" s="61"/>
      <c r="V115" s="61"/>
      <c r="W115" s="61"/>
      <c r="X115" s="61"/>
      <c r="Y115" s="61"/>
    </row>
    <row r="116" spans="1:25" s="62" customFormat="1" ht="35.1" customHeight="1">
      <c r="A116" s="63"/>
      <c r="B116" s="83"/>
      <c r="C116" s="83"/>
      <c r="D116" s="65"/>
      <c r="E116" s="65"/>
      <c r="F116" s="65"/>
      <c r="G116" s="65"/>
      <c r="H116" s="76"/>
      <c r="I116" s="65"/>
      <c r="J116" s="18"/>
      <c r="K116" s="65"/>
      <c r="L116" s="65"/>
      <c r="M116" s="44"/>
      <c r="N116" s="44">
        <v>0</v>
      </c>
      <c r="O116" s="44">
        <v>0</v>
      </c>
      <c r="P116" s="17"/>
      <c r="Q116" s="60" t="str">
        <f t="shared" si="15"/>
        <v/>
      </c>
      <c r="R116" s="60" t="str">
        <f t="shared" si="16"/>
        <v/>
      </c>
      <c r="S116" s="61" t="str">
        <f t="shared" si="17"/>
        <v>-</v>
      </c>
      <c r="T116" s="61"/>
      <c r="U116" s="61"/>
      <c r="V116" s="61"/>
      <c r="W116" s="61"/>
      <c r="X116" s="61"/>
      <c r="Y116" s="61"/>
    </row>
    <row r="117" spans="1:25" s="62" customFormat="1" ht="35.1" customHeight="1">
      <c r="A117" s="63"/>
      <c r="B117" s="83"/>
      <c r="C117" s="83"/>
      <c r="D117" s="81"/>
      <c r="E117" s="81"/>
      <c r="F117" s="81"/>
      <c r="G117" s="65"/>
      <c r="H117" s="85"/>
      <c r="I117" s="65"/>
      <c r="J117" s="18"/>
      <c r="K117" s="81"/>
      <c r="L117" s="81"/>
      <c r="M117" s="44"/>
      <c r="N117" s="44"/>
      <c r="O117" s="44"/>
      <c r="P117" s="17"/>
      <c r="Q117" s="60" t="str">
        <f t="shared" si="15"/>
        <v/>
      </c>
      <c r="R117" s="60" t="str">
        <f t="shared" si="16"/>
        <v/>
      </c>
      <c r="S117" s="61" t="str">
        <f t="shared" si="17"/>
        <v>-</v>
      </c>
      <c r="T117" s="61"/>
      <c r="U117" s="61"/>
      <c r="V117" s="61"/>
      <c r="W117" s="61"/>
      <c r="X117" s="61"/>
      <c r="Y117" s="61"/>
    </row>
    <row r="118" spans="1:25" s="62" customFormat="1" ht="35.1" customHeight="1">
      <c r="A118" s="63"/>
      <c r="B118" s="83"/>
      <c r="C118" s="83"/>
      <c r="D118" s="81"/>
      <c r="E118" s="81"/>
      <c r="F118" s="81"/>
      <c r="G118" s="65"/>
      <c r="H118" s="85"/>
      <c r="I118" s="65"/>
      <c r="J118" s="18"/>
      <c r="K118" s="81"/>
      <c r="L118" s="81"/>
      <c r="M118" s="44"/>
      <c r="N118" s="44">
        <v>0</v>
      </c>
      <c r="O118" s="44">
        <v>0</v>
      </c>
      <c r="P118" s="17"/>
      <c r="Q118" s="60" t="str">
        <f t="shared" si="15"/>
        <v/>
      </c>
      <c r="R118" s="60" t="str">
        <f t="shared" si="16"/>
        <v/>
      </c>
      <c r="S118" s="61" t="str">
        <f t="shared" si="17"/>
        <v>-</v>
      </c>
      <c r="T118" s="61"/>
      <c r="U118" s="61"/>
      <c r="V118" s="61"/>
      <c r="W118" s="61"/>
      <c r="X118" s="61"/>
      <c r="Y118" s="61"/>
    </row>
    <row r="119" spans="1:25" s="62" customFormat="1" ht="35.1" customHeight="1">
      <c r="A119" s="63"/>
      <c r="B119" s="83"/>
      <c r="C119" s="83"/>
      <c r="D119" s="81"/>
      <c r="E119" s="81"/>
      <c r="F119" s="81"/>
      <c r="G119" s="65"/>
      <c r="H119" s="85"/>
      <c r="I119" s="65"/>
      <c r="J119" s="18"/>
      <c r="K119" s="81"/>
      <c r="L119" s="81"/>
      <c r="M119" s="44">
        <v>0</v>
      </c>
      <c r="N119" s="44">
        <v>0</v>
      </c>
      <c r="O119" s="44">
        <v>0</v>
      </c>
      <c r="P119" s="17"/>
      <c r="Q119" s="60" t="str">
        <f t="shared" si="15"/>
        <v/>
      </c>
      <c r="R119" s="60" t="str">
        <f t="shared" si="16"/>
        <v/>
      </c>
      <c r="S119" s="61" t="str">
        <f t="shared" si="17"/>
        <v>-</v>
      </c>
      <c r="T119" s="61"/>
      <c r="U119" s="61"/>
      <c r="V119" s="61"/>
      <c r="W119" s="61"/>
      <c r="X119" s="61"/>
      <c r="Y119" s="61"/>
    </row>
    <row r="120" spans="1:25" s="62" customFormat="1" ht="35.1" customHeight="1">
      <c r="A120" s="63"/>
      <c r="B120" s="83"/>
      <c r="C120" s="83"/>
      <c r="D120" s="81"/>
      <c r="E120" s="81"/>
      <c r="F120" s="81"/>
      <c r="G120" s="65"/>
      <c r="H120" s="85"/>
      <c r="I120" s="65"/>
      <c r="J120" s="18"/>
      <c r="K120" s="81"/>
      <c r="L120" s="81"/>
      <c r="M120" s="44">
        <v>0</v>
      </c>
      <c r="N120" s="44">
        <v>0</v>
      </c>
      <c r="O120" s="44">
        <v>0</v>
      </c>
      <c r="P120" s="17"/>
      <c r="Q120" s="60" t="str">
        <f t="shared" si="15"/>
        <v/>
      </c>
      <c r="R120" s="60" t="str">
        <f t="shared" si="16"/>
        <v/>
      </c>
      <c r="S120" s="61" t="str">
        <f t="shared" si="17"/>
        <v>-</v>
      </c>
      <c r="T120" s="61"/>
      <c r="U120" s="61"/>
      <c r="V120" s="61"/>
      <c r="W120" s="61"/>
      <c r="X120" s="61"/>
      <c r="Y120" s="61"/>
    </row>
    <row r="121" spans="1:25" s="62" customFormat="1" ht="35.1" customHeight="1">
      <c r="A121" s="63"/>
      <c r="B121" s="83"/>
      <c r="C121" s="83"/>
      <c r="D121" s="81"/>
      <c r="E121" s="81"/>
      <c r="F121" s="81"/>
      <c r="G121" s="65"/>
      <c r="H121" s="85"/>
      <c r="I121" s="65"/>
      <c r="J121" s="18"/>
      <c r="K121" s="81"/>
      <c r="L121" s="81"/>
      <c r="M121" s="44">
        <v>0</v>
      </c>
      <c r="N121" s="44">
        <v>0</v>
      </c>
      <c r="O121" s="44">
        <v>0</v>
      </c>
      <c r="P121" s="17"/>
      <c r="Q121" s="60" t="str">
        <f t="shared" si="15"/>
        <v/>
      </c>
      <c r="R121" s="60" t="str">
        <f t="shared" si="16"/>
        <v/>
      </c>
      <c r="S121" s="61" t="str">
        <f t="shared" si="17"/>
        <v>-</v>
      </c>
      <c r="T121" s="61"/>
      <c r="U121" s="61"/>
      <c r="V121" s="61"/>
      <c r="W121" s="61"/>
      <c r="X121" s="61"/>
      <c r="Y121" s="61"/>
    </row>
    <row r="122" spans="1:25" s="62" customFormat="1" ht="35.1" customHeight="1">
      <c r="A122" s="63"/>
      <c r="B122" s="64"/>
      <c r="C122" s="64"/>
      <c r="D122" s="65"/>
      <c r="E122" s="65"/>
      <c r="F122" s="65"/>
      <c r="G122" s="65"/>
      <c r="H122" s="65"/>
      <c r="I122" s="65"/>
      <c r="J122" s="18"/>
      <c r="K122" s="65"/>
      <c r="L122" s="65"/>
      <c r="M122" s="44"/>
      <c r="N122" s="44"/>
      <c r="O122" s="44"/>
      <c r="P122" s="17"/>
      <c r="Q122" s="60" t="str">
        <f t="shared" si="15"/>
        <v/>
      </c>
      <c r="R122" s="60" t="str">
        <f t="shared" si="16"/>
        <v/>
      </c>
      <c r="S122" s="61" t="str">
        <f t="shared" si="17"/>
        <v>-</v>
      </c>
      <c r="T122" s="61"/>
      <c r="U122" s="61"/>
      <c r="V122" s="61"/>
      <c r="W122" s="61"/>
      <c r="X122" s="61"/>
      <c r="Y122" s="61"/>
    </row>
    <row r="123" spans="1:25" s="62" customFormat="1" ht="35.1" customHeight="1">
      <c r="A123" s="63"/>
      <c r="B123" s="64"/>
      <c r="C123" s="64"/>
      <c r="D123" s="65"/>
      <c r="E123" s="65"/>
      <c r="F123" s="65"/>
      <c r="G123" s="65"/>
      <c r="H123" s="65"/>
      <c r="I123" s="65"/>
      <c r="J123" s="18"/>
      <c r="K123" s="65"/>
      <c r="L123" s="65"/>
      <c r="M123" s="44"/>
      <c r="N123" s="44"/>
      <c r="O123" s="44"/>
      <c r="P123" s="17"/>
      <c r="Q123" s="60" t="str">
        <f t="shared" si="15"/>
        <v/>
      </c>
      <c r="R123" s="60" t="str">
        <f t="shared" si="16"/>
        <v/>
      </c>
      <c r="S123" s="61" t="str">
        <f t="shared" si="17"/>
        <v>-</v>
      </c>
      <c r="T123" s="61"/>
      <c r="U123" s="61"/>
      <c r="V123" s="61"/>
      <c r="W123" s="61"/>
      <c r="X123" s="61"/>
      <c r="Y123" s="61"/>
    </row>
    <row r="124" spans="1:25" s="62" customFormat="1" ht="35.1" customHeight="1">
      <c r="A124" s="63"/>
      <c r="B124" s="64"/>
      <c r="C124" s="64"/>
      <c r="D124" s="65"/>
      <c r="E124" s="65"/>
      <c r="F124" s="65"/>
      <c r="G124" s="65"/>
      <c r="H124" s="65"/>
      <c r="I124" s="65"/>
      <c r="J124" s="18"/>
      <c r="K124" s="65"/>
      <c r="L124" s="65"/>
      <c r="M124" s="44"/>
      <c r="N124" s="44"/>
      <c r="O124" s="44"/>
      <c r="P124" s="17"/>
      <c r="Q124" s="60" t="str">
        <f t="shared" si="15"/>
        <v/>
      </c>
      <c r="R124" s="60" t="str">
        <f t="shared" si="16"/>
        <v/>
      </c>
      <c r="S124" s="61" t="str">
        <f t="shared" si="17"/>
        <v>-</v>
      </c>
      <c r="T124" s="61"/>
      <c r="U124" s="61"/>
      <c r="V124" s="61"/>
      <c r="W124" s="61"/>
      <c r="X124" s="61"/>
      <c r="Y124" s="61"/>
    </row>
    <row r="125" spans="1:25" s="62" customFormat="1" ht="35.1" customHeight="1">
      <c r="A125" s="63"/>
      <c r="B125" s="64"/>
      <c r="C125" s="64"/>
      <c r="D125" s="65"/>
      <c r="E125" s="65"/>
      <c r="F125" s="65"/>
      <c r="G125" s="65"/>
      <c r="H125" s="65"/>
      <c r="I125" s="65"/>
      <c r="J125" s="18"/>
      <c r="K125" s="65"/>
      <c r="L125" s="65"/>
      <c r="M125" s="44"/>
      <c r="N125" s="44"/>
      <c r="O125" s="44"/>
      <c r="P125" s="17"/>
      <c r="Q125" s="60" t="str">
        <f t="shared" si="15"/>
        <v/>
      </c>
      <c r="R125" s="60" t="str">
        <f t="shared" si="16"/>
        <v/>
      </c>
      <c r="S125" s="61" t="str">
        <f t="shared" si="17"/>
        <v>-</v>
      </c>
      <c r="T125" s="61"/>
      <c r="U125" s="61"/>
      <c r="V125" s="61"/>
      <c r="W125" s="61"/>
      <c r="X125" s="61"/>
      <c r="Y125" s="61"/>
    </row>
    <row r="126" spans="1:25" s="62" customFormat="1" ht="35.1" customHeight="1">
      <c r="A126" s="63"/>
      <c r="B126" s="64"/>
      <c r="C126" s="64"/>
      <c r="D126" s="65"/>
      <c r="E126" s="65"/>
      <c r="F126" s="65"/>
      <c r="G126" s="65"/>
      <c r="H126" s="65"/>
      <c r="I126" s="65"/>
      <c r="J126" s="18"/>
      <c r="K126" s="65"/>
      <c r="L126" s="65"/>
      <c r="M126" s="44"/>
      <c r="N126" s="44"/>
      <c r="O126" s="44"/>
      <c r="P126" s="17"/>
      <c r="Q126" s="60" t="str">
        <f t="shared" si="15"/>
        <v/>
      </c>
      <c r="R126" s="60" t="str">
        <f t="shared" si="16"/>
        <v/>
      </c>
      <c r="S126" s="61" t="str">
        <f t="shared" si="17"/>
        <v>-</v>
      </c>
      <c r="T126" s="61"/>
      <c r="U126" s="61"/>
      <c r="V126" s="61"/>
      <c r="W126" s="61"/>
      <c r="X126" s="61"/>
      <c r="Y126" s="61"/>
    </row>
    <row r="127" spans="1:25" s="62" customFormat="1" ht="35.1" customHeight="1">
      <c r="A127" s="63"/>
      <c r="B127" s="64"/>
      <c r="C127" s="64"/>
      <c r="D127" s="65"/>
      <c r="E127" s="65"/>
      <c r="F127" s="65"/>
      <c r="G127" s="65"/>
      <c r="H127" s="65"/>
      <c r="I127" s="65"/>
      <c r="J127" s="18"/>
      <c r="K127" s="65"/>
      <c r="L127" s="65"/>
      <c r="M127" s="44"/>
      <c r="N127" s="44"/>
      <c r="O127" s="44"/>
      <c r="P127" s="17"/>
      <c r="Q127" s="60" t="str">
        <f t="shared" si="15"/>
        <v/>
      </c>
      <c r="R127" s="60" t="str">
        <f t="shared" si="16"/>
        <v/>
      </c>
      <c r="S127" s="61" t="str">
        <f t="shared" si="17"/>
        <v>-</v>
      </c>
      <c r="T127" s="61"/>
      <c r="U127" s="61"/>
      <c r="V127" s="61"/>
      <c r="W127" s="61"/>
      <c r="X127" s="61"/>
      <c r="Y127" s="61"/>
    </row>
    <row r="128" spans="1:25" s="62" customFormat="1" ht="35.1" customHeight="1">
      <c r="A128" s="63"/>
      <c r="B128" s="64"/>
      <c r="C128" s="64"/>
      <c r="D128" s="65"/>
      <c r="E128" s="65"/>
      <c r="F128" s="65"/>
      <c r="G128" s="65"/>
      <c r="H128" s="65"/>
      <c r="I128" s="65"/>
      <c r="J128" s="18"/>
      <c r="K128" s="65"/>
      <c r="L128" s="65"/>
      <c r="M128" s="44"/>
      <c r="N128" s="44"/>
      <c r="O128" s="44"/>
      <c r="P128" s="17"/>
      <c r="Q128" s="60" t="str">
        <f t="shared" si="15"/>
        <v/>
      </c>
      <c r="R128" s="60" t="str">
        <f t="shared" si="16"/>
        <v/>
      </c>
      <c r="S128" s="61" t="str">
        <f t="shared" si="17"/>
        <v>-</v>
      </c>
      <c r="T128" s="61"/>
      <c r="U128" s="61"/>
      <c r="V128" s="61"/>
      <c r="W128" s="61"/>
      <c r="X128" s="61"/>
      <c r="Y128" s="61"/>
    </row>
    <row r="129" spans="1:81" s="62" customFormat="1" ht="35.1" customHeight="1">
      <c r="A129" s="63"/>
      <c r="B129" s="64"/>
      <c r="C129" s="64"/>
      <c r="D129" s="65"/>
      <c r="E129" s="65"/>
      <c r="F129" s="65"/>
      <c r="G129" s="65"/>
      <c r="H129" s="65"/>
      <c r="I129" s="65"/>
      <c r="J129" s="18"/>
      <c r="K129" s="65"/>
      <c r="L129" s="65"/>
      <c r="M129" s="44"/>
      <c r="N129" s="44"/>
      <c r="O129" s="44"/>
      <c r="P129" s="17"/>
      <c r="Q129" s="60" t="str">
        <f t="shared" si="15"/>
        <v/>
      </c>
      <c r="R129" s="60" t="str">
        <f t="shared" si="16"/>
        <v/>
      </c>
      <c r="S129" s="61" t="str">
        <f t="shared" si="17"/>
        <v>-</v>
      </c>
      <c r="T129" s="61"/>
      <c r="U129" s="61"/>
      <c r="V129" s="61"/>
      <c r="W129" s="61"/>
      <c r="X129" s="61"/>
      <c r="Y129" s="61"/>
    </row>
    <row r="130" spans="1:81" s="62" customFormat="1" ht="35.1" customHeight="1">
      <c r="A130" s="77"/>
      <c r="B130" s="78"/>
      <c r="C130" s="78"/>
      <c r="D130" s="79"/>
      <c r="E130" s="79"/>
      <c r="F130" s="79"/>
      <c r="G130" s="79"/>
      <c r="H130" s="79"/>
      <c r="I130" s="79"/>
      <c r="J130" s="42"/>
      <c r="K130" s="79"/>
      <c r="L130" s="79"/>
      <c r="M130" s="90"/>
      <c r="N130" s="90"/>
      <c r="O130" s="90"/>
      <c r="P130" s="91"/>
      <c r="Q130" s="60" t="str">
        <f t="shared" si="15"/>
        <v/>
      </c>
      <c r="R130" s="60" t="str">
        <f t="shared" si="16"/>
        <v/>
      </c>
      <c r="S130" s="61" t="str">
        <f t="shared" si="17"/>
        <v>-</v>
      </c>
      <c r="T130" s="61"/>
      <c r="U130" s="61"/>
      <c r="V130" s="61"/>
      <c r="W130" s="61"/>
      <c r="X130" s="61"/>
      <c r="Y130" s="61"/>
    </row>
    <row r="131" spans="1:81" s="73" customFormat="1" ht="35.1" customHeight="1">
      <c r="A131" s="66" t="s">
        <v>41</v>
      </c>
      <c r="B131" s="67"/>
      <c r="C131" s="67"/>
      <c r="D131" s="68"/>
      <c r="E131" s="68"/>
      <c r="F131" s="68"/>
      <c r="G131" s="69"/>
      <c r="H131" s="69">
        <f>SUM(H111:H130)</f>
        <v>0</v>
      </c>
      <c r="I131" s="69">
        <f>SUM(I111:I130)</f>
        <v>0</v>
      </c>
      <c r="J131" s="69">
        <f>SUM(J111:J130)</f>
        <v>0</v>
      </c>
      <c r="K131" s="70"/>
      <c r="L131" s="70"/>
      <c r="M131" s="70"/>
      <c r="N131" s="70"/>
      <c r="O131" s="70"/>
      <c r="P131" s="71"/>
      <c r="Q131" s="60" t="str">
        <f t="shared" si="15"/>
        <v/>
      </c>
      <c r="R131" s="60" t="str">
        <f t="shared" si="16"/>
        <v/>
      </c>
      <c r="S131" s="61"/>
      <c r="T131" s="61"/>
      <c r="U131" s="61"/>
      <c r="V131" s="61"/>
      <c r="W131" s="61"/>
      <c r="X131" s="61"/>
      <c r="Y131" s="61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  <c r="BY131" s="72"/>
      <c r="BZ131" s="72"/>
      <c r="CA131" s="72"/>
      <c r="CB131" s="72"/>
      <c r="CC131" s="72"/>
    </row>
    <row r="132" spans="1:81" s="62" customFormat="1" ht="35.1" customHeight="1">
      <c r="A132" s="87"/>
      <c r="B132" s="82"/>
      <c r="C132" s="82"/>
      <c r="D132" s="80"/>
      <c r="E132" s="80"/>
      <c r="F132" s="80"/>
      <c r="G132" s="59"/>
      <c r="H132" s="19"/>
      <c r="I132" s="59"/>
      <c r="J132" s="19">
        <f>I132-H132</f>
        <v>0</v>
      </c>
      <c r="K132" s="80"/>
      <c r="L132" s="80"/>
      <c r="M132" s="43"/>
      <c r="N132" s="43"/>
      <c r="O132" s="43"/>
      <c r="P132" s="16"/>
      <c r="Q132" s="60" t="str">
        <f>CONCATENATE(D132,K132)</f>
        <v/>
      </c>
      <c r="R132" s="60" t="str">
        <f>CONCATENATE(E132,K132)</f>
        <v/>
      </c>
      <c r="S132" s="61" t="str">
        <f>IF(G132&gt;=I132,"-","err")</f>
        <v>-</v>
      </c>
      <c r="T132" s="61"/>
      <c r="U132" s="61"/>
      <c r="V132" s="61"/>
      <c r="W132" s="61"/>
      <c r="X132" s="61"/>
      <c r="Y132" s="61"/>
    </row>
    <row r="133" spans="1:81" s="62" customFormat="1" ht="35.1" customHeight="1">
      <c r="A133" s="88"/>
      <c r="B133" s="83"/>
      <c r="C133" s="83"/>
      <c r="D133" s="65"/>
      <c r="E133" s="65"/>
      <c r="F133" s="65"/>
      <c r="G133" s="65"/>
      <c r="H133" s="18"/>
      <c r="I133" s="65"/>
      <c r="J133" s="18">
        <f>I133-H133</f>
        <v>0</v>
      </c>
      <c r="K133" s="65"/>
      <c r="L133" s="65"/>
      <c r="M133" s="44"/>
      <c r="N133" s="44">
        <v>0</v>
      </c>
      <c r="O133" s="44">
        <v>0</v>
      </c>
      <c r="P133" s="17"/>
      <c r="Q133" s="60" t="str">
        <f t="shared" ref="Q133:Q152" si="18">CONCATENATE(D133,K133)</f>
        <v/>
      </c>
      <c r="R133" s="60" t="str">
        <f t="shared" ref="R133:R152" si="19">CONCATENATE(E133,K133)</f>
        <v/>
      </c>
      <c r="S133" s="61" t="str">
        <f t="shared" ref="S133:S151" si="20">IF(G133&gt;=I133,"-","err")</f>
        <v>-</v>
      </c>
      <c r="T133" s="61"/>
      <c r="U133" s="61"/>
      <c r="V133" s="61"/>
      <c r="W133" s="61"/>
      <c r="X133" s="61"/>
      <c r="Y133" s="61"/>
    </row>
    <row r="134" spans="1:81" s="62" customFormat="1" ht="35.1" customHeight="1">
      <c r="A134" s="88"/>
      <c r="B134" s="86"/>
      <c r="C134" s="86"/>
      <c r="D134" s="65"/>
      <c r="E134" s="65"/>
      <c r="F134" s="65"/>
      <c r="G134" s="65"/>
      <c r="H134" s="18"/>
      <c r="I134" s="65"/>
      <c r="J134" s="18">
        <f>I134-H134</f>
        <v>0</v>
      </c>
      <c r="K134" s="65"/>
      <c r="L134" s="65"/>
      <c r="M134" s="44"/>
      <c r="N134" s="44">
        <v>0</v>
      </c>
      <c r="O134" s="44">
        <v>0</v>
      </c>
      <c r="P134" s="17"/>
      <c r="Q134" s="60" t="str">
        <f t="shared" si="18"/>
        <v/>
      </c>
      <c r="R134" s="60" t="str">
        <f t="shared" si="19"/>
        <v/>
      </c>
      <c r="S134" s="61" t="str">
        <f t="shared" si="20"/>
        <v>-</v>
      </c>
      <c r="T134" s="61"/>
      <c r="U134" s="61"/>
      <c r="V134" s="61"/>
      <c r="W134" s="61"/>
      <c r="X134" s="61"/>
      <c r="Y134" s="61"/>
    </row>
    <row r="135" spans="1:81" s="62" customFormat="1" ht="35.1" customHeight="1">
      <c r="A135" s="88"/>
      <c r="B135" s="86"/>
      <c r="C135" s="86"/>
      <c r="D135" s="65"/>
      <c r="E135" s="65"/>
      <c r="F135" s="65"/>
      <c r="G135" s="65"/>
      <c r="H135" s="18"/>
      <c r="I135" s="65"/>
      <c r="J135" s="18">
        <f>I135-H135</f>
        <v>0</v>
      </c>
      <c r="K135" s="65"/>
      <c r="L135" s="65"/>
      <c r="M135" s="44"/>
      <c r="N135" s="44">
        <v>0</v>
      </c>
      <c r="O135" s="44">
        <v>0</v>
      </c>
      <c r="P135" s="17"/>
      <c r="Q135" s="60" t="str">
        <f t="shared" si="18"/>
        <v/>
      </c>
      <c r="R135" s="60" t="str">
        <f t="shared" si="19"/>
        <v/>
      </c>
      <c r="S135" s="61" t="str">
        <f t="shared" si="20"/>
        <v>-</v>
      </c>
      <c r="T135" s="61"/>
      <c r="U135" s="61"/>
      <c r="V135" s="61"/>
      <c r="W135" s="61"/>
      <c r="X135" s="61"/>
      <c r="Y135" s="61"/>
    </row>
    <row r="136" spans="1:81" s="62" customFormat="1" ht="35.1" customHeight="1">
      <c r="A136" s="88"/>
      <c r="B136" s="86"/>
      <c r="C136" s="86"/>
      <c r="D136" s="65"/>
      <c r="E136" s="65"/>
      <c r="F136" s="65"/>
      <c r="G136" s="65"/>
      <c r="H136" s="18"/>
      <c r="I136" s="65"/>
      <c r="J136" s="18">
        <f>I136-H136</f>
        <v>0</v>
      </c>
      <c r="K136" s="65"/>
      <c r="L136" s="65"/>
      <c r="M136" s="44"/>
      <c r="N136" s="44">
        <v>0</v>
      </c>
      <c r="O136" s="44">
        <v>0</v>
      </c>
      <c r="P136" s="17"/>
      <c r="Q136" s="60" t="str">
        <f t="shared" si="18"/>
        <v/>
      </c>
      <c r="R136" s="60" t="str">
        <f t="shared" si="19"/>
        <v/>
      </c>
      <c r="S136" s="61" t="str">
        <f t="shared" si="20"/>
        <v>-</v>
      </c>
      <c r="T136" s="61"/>
      <c r="U136" s="61"/>
      <c r="V136" s="61"/>
      <c r="W136" s="61"/>
      <c r="X136" s="61"/>
      <c r="Y136" s="61"/>
    </row>
    <row r="137" spans="1:81" s="62" customFormat="1" ht="35.1" customHeight="1">
      <c r="A137" s="63"/>
      <c r="B137" s="83"/>
      <c r="C137" s="83"/>
      <c r="D137" s="65"/>
      <c r="E137" s="65"/>
      <c r="F137" s="65"/>
      <c r="G137" s="65"/>
      <c r="H137" s="76"/>
      <c r="I137" s="65"/>
      <c r="J137" s="18"/>
      <c r="K137" s="65"/>
      <c r="L137" s="65"/>
      <c r="M137" s="44"/>
      <c r="N137" s="44">
        <v>0</v>
      </c>
      <c r="O137" s="44">
        <v>0</v>
      </c>
      <c r="P137" s="17"/>
      <c r="Q137" s="60" t="str">
        <f t="shared" si="18"/>
        <v/>
      </c>
      <c r="R137" s="60" t="str">
        <f t="shared" si="19"/>
        <v/>
      </c>
      <c r="S137" s="61" t="str">
        <f t="shared" si="20"/>
        <v>-</v>
      </c>
      <c r="T137" s="61"/>
      <c r="U137" s="61"/>
      <c r="V137" s="61"/>
      <c r="W137" s="61"/>
      <c r="X137" s="61"/>
      <c r="Y137" s="61"/>
    </row>
    <row r="138" spans="1:81" s="62" customFormat="1" ht="35.1" customHeight="1">
      <c r="A138" s="63"/>
      <c r="B138" s="83"/>
      <c r="C138" s="83"/>
      <c r="D138" s="81"/>
      <c r="E138" s="81"/>
      <c r="F138" s="81"/>
      <c r="G138" s="65"/>
      <c r="H138" s="85"/>
      <c r="I138" s="65"/>
      <c r="J138" s="18"/>
      <c r="K138" s="81"/>
      <c r="L138" s="81"/>
      <c r="M138" s="44"/>
      <c r="N138" s="44"/>
      <c r="O138" s="44"/>
      <c r="P138" s="17"/>
      <c r="Q138" s="60" t="str">
        <f t="shared" si="18"/>
        <v/>
      </c>
      <c r="R138" s="60" t="str">
        <f t="shared" si="19"/>
        <v/>
      </c>
      <c r="S138" s="61" t="str">
        <f t="shared" si="20"/>
        <v>-</v>
      </c>
      <c r="T138" s="61"/>
      <c r="U138" s="61"/>
      <c r="V138" s="61"/>
      <c r="W138" s="61"/>
      <c r="X138" s="61"/>
      <c r="Y138" s="61"/>
    </row>
    <row r="139" spans="1:81" s="62" customFormat="1" ht="35.1" customHeight="1">
      <c r="A139" s="63"/>
      <c r="B139" s="83"/>
      <c r="C139" s="83"/>
      <c r="D139" s="81"/>
      <c r="E139" s="81"/>
      <c r="F139" s="81"/>
      <c r="G139" s="65"/>
      <c r="H139" s="85"/>
      <c r="I139" s="65"/>
      <c r="J139" s="18"/>
      <c r="K139" s="81"/>
      <c r="L139" s="81"/>
      <c r="M139" s="44"/>
      <c r="N139" s="44">
        <v>0</v>
      </c>
      <c r="O139" s="44">
        <v>0</v>
      </c>
      <c r="P139" s="17"/>
      <c r="Q139" s="60" t="str">
        <f t="shared" si="18"/>
        <v/>
      </c>
      <c r="R139" s="60" t="str">
        <f t="shared" si="19"/>
        <v/>
      </c>
      <c r="S139" s="61" t="str">
        <f t="shared" si="20"/>
        <v>-</v>
      </c>
      <c r="T139" s="61"/>
      <c r="U139" s="61"/>
      <c r="V139" s="61"/>
      <c r="W139" s="61"/>
      <c r="X139" s="61"/>
      <c r="Y139" s="61"/>
    </row>
    <row r="140" spans="1:81" s="62" customFormat="1" ht="35.1" customHeight="1">
      <c r="A140" s="63"/>
      <c r="B140" s="83"/>
      <c r="C140" s="83"/>
      <c r="D140" s="81"/>
      <c r="E140" s="81"/>
      <c r="F140" s="81"/>
      <c r="G140" s="65"/>
      <c r="H140" s="85"/>
      <c r="I140" s="65"/>
      <c r="J140" s="18"/>
      <c r="K140" s="81"/>
      <c r="L140" s="81"/>
      <c r="M140" s="44">
        <v>0</v>
      </c>
      <c r="N140" s="44">
        <v>0</v>
      </c>
      <c r="O140" s="44">
        <v>0</v>
      </c>
      <c r="P140" s="17"/>
      <c r="Q140" s="60" t="str">
        <f t="shared" si="18"/>
        <v/>
      </c>
      <c r="R140" s="60" t="str">
        <f t="shared" si="19"/>
        <v/>
      </c>
      <c r="S140" s="61" t="str">
        <f t="shared" si="20"/>
        <v>-</v>
      </c>
      <c r="T140" s="61"/>
      <c r="U140" s="61"/>
      <c r="V140" s="61"/>
      <c r="W140" s="61"/>
      <c r="X140" s="61"/>
      <c r="Y140" s="61"/>
    </row>
    <row r="141" spans="1:81" s="62" customFormat="1" ht="35.1" customHeight="1">
      <c r="A141" s="63"/>
      <c r="B141" s="83"/>
      <c r="C141" s="83"/>
      <c r="D141" s="81"/>
      <c r="E141" s="81"/>
      <c r="F141" s="81"/>
      <c r="G141" s="65"/>
      <c r="H141" s="85"/>
      <c r="I141" s="65"/>
      <c r="J141" s="18"/>
      <c r="K141" s="81"/>
      <c r="L141" s="81"/>
      <c r="M141" s="44">
        <v>0</v>
      </c>
      <c r="N141" s="44">
        <v>0</v>
      </c>
      <c r="O141" s="44">
        <v>0</v>
      </c>
      <c r="P141" s="17"/>
      <c r="Q141" s="60" t="str">
        <f t="shared" si="18"/>
        <v/>
      </c>
      <c r="R141" s="60" t="str">
        <f t="shared" si="19"/>
        <v/>
      </c>
      <c r="S141" s="61" t="str">
        <f t="shared" si="20"/>
        <v>-</v>
      </c>
      <c r="T141" s="61"/>
      <c r="U141" s="61"/>
      <c r="V141" s="61"/>
      <c r="W141" s="61"/>
      <c r="X141" s="61"/>
      <c r="Y141" s="61"/>
    </row>
    <row r="142" spans="1:81" s="62" customFormat="1" ht="35.1" customHeight="1">
      <c r="A142" s="63"/>
      <c r="B142" s="83"/>
      <c r="C142" s="83"/>
      <c r="D142" s="81"/>
      <c r="E142" s="81"/>
      <c r="F142" s="81"/>
      <c r="G142" s="65"/>
      <c r="H142" s="85"/>
      <c r="I142" s="65"/>
      <c r="J142" s="18"/>
      <c r="K142" s="81"/>
      <c r="L142" s="81"/>
      <c r="M142" s="44">
        <v>0</v>
      </c>
      <c r="N142" s="44">
        <v>0</v>
      </c>
      <c r="O142" s="44">
        <v>0</v>
      </c>
      <c r="P142" s="17"/>
      <c r="Q142" s="60" t="str">
        <f t="shared" si="18"/>
        <v/>
      </c>
      <c r="R142" s="60" t="str">
        <f t="shared" si="19"/>
        <v/>
      </c>
      <c r="S142" s="61" t="str">
        <f t="shared" si="20"/>
        <v>-</v>
      </c>
      <c r="T142" s="61"/>
      <c r="U142" s="61"/>
      <c r="V142" s="61"/>
      <c r="W142" s="61"/>
      <c r="X142" s="61"/>
      <c r="Y142" s="61"/>
    </row>
    <row r="143" spans="1:81" s="62" customFormat="1" ht="35.1" customHeight="1">
      <c r="A143" s="63"/>
      <c r="B143" s="64"/>
      <c r="C143" s="64"/>
      <c r="D143" s="65"/>
      <c r="E143" s="65"/>
      <c r="F143" s="65"/>
      <c r="G143" s="65"/>
      <c r="H143" s="65"/>
      <c r="I143" s="65"/>
      <c r="J143" s="18"/>
      <c r="K143" s="65"/>
      <c r="L143" s="65"/>
      <c r="M143" s="44"/>
      <c r="N143" s="44"/>
      <c r="O143" s="44"/>
      <c r="P143" s="17"/>
      <c r="Q143" s="60" t="str">
        <f t="shared" si="18"/>
        <v/>
      </c>
      <c r="R143" s="60" t="str">
        <f t="shared" si="19"/>
        <v/>
      </c>
      <c r="S143" s="61" t="str">
        <f t="shared" si="20"/>
        <v>-</v>
      </c>
      <c r="T143" s="61"/>
      <c r="U143" s="61"/>
      <c r="V143" s="61"/>
      <c r="W143" s="61"/>
      <c r="X143" s="61"/>
      <c r="Y143" s="61"/>
    </row>
    <row r="144" spans="1:81" s="62" customFormat="1" ht="35.1" customHeight="1">
      <c r="A144" s="63"/>
      <c r="B144" s="64"/>
      <c r="C144" s="64"/>
      <c r="D144" s="65"/>
      <c r="E144" s="65"/>
      <c r="F144" s="65"/>
      <c r="G144" s="65"/>
      <c r="H144" s="65"/>
      <c r="I144" s="65"/>
      <c r="J144" s="18"/>
      <c r="K144" s="65"/>
      <c r="L144" s="65"/>
      <c r="M144" s="44"/>
      <c r="N144" s="44"/>
      <c r="O144" s="44"/>
      <c r="P144" s="17"/>
      <c r="Q144" s="60" t="str">
        <f t="shared" si="18"/>
        <v/>
      </c>
      <c r="R144" s="60" t="str">
        <f t="shared" si="19"/>
        <v/>
      </c>
      <c r="S144" s="61" t="str">
        <f t="shared" si="20"/>
        <v>-</v>
      </c>
      <c r="T144" s="61"/>
      <c r="U144" s="61"/>
      <c r="V144" s="61"/>
      <c r="W144" s="61"/>
      <c r="X144" s="61"/>
      <c r="Y144" s="61"/>
    </row>
    <row r="145" spans="1:81" s="62" customFormat="1" ht="35.1" customHeight="1">
      <c r="A145" s="63"/>
      <c r="B145" s="64"/>
      <c r="C145" s="64"/>
      <c r="D145" s="65"/>
      <c r="E145" s="65"/>
      <c r="F145" s="65"/>
      <c r="G145" s="65"/>
      <c r="H145" s="65"/>
      <c r="I145" s="65"/>
      <c r="J145" s="18"/>
      <c r="K145" s="65"/>
      <c r="L145" s="65"/>
      <c r="M145" s="44"/>
      <c r="N145" s="44"/>
      <c r="O145" s="44"/>
      <c r="P145" s="17"/>
      <c r="Q145" s="60" t="str">
        <f t="shared" si="18"/>
        <v/>
      </c>
      <c r="R145" s="60" t="str">
        <f t="shared" si="19"/>
        <v/>
      </c>
      <c r="S145" s="61" t="str">
        <f t="shared" si="20"/>
        <v>-</v>
      </c>
      <c r="T145" s="61"/>
      <c r="U145" s="61"/>
      <c r="V145" s="61"/>
      <c r="W145" s="61"/>
      <c r="X145" s="61"/>
      <c r="Y145" s="61"/>
    </row>
    <row r="146" spans="1:81" s="62" customFormat="1" ht="35.1" customHeight="1">
      <c r="A146" s="63"/>
      <c r="B146" s="64"/>
      <c r="C146" s="64"/>
      <c r="D146" s="65"/>
      <c r="E146" s="65"/>
      <c r="F146" s="65"/>
      <c r="G146" s="65"/>
      <c r="H146" s="65"/>
      <c r="I146" s="65"/>
      <c r="J146" s="18"/>
      <c r="K146" s="65"/>
      <c r="L146" s="65"/>
      <c r="M146" s="44"/>
      <c r="N146" s="44"/>
      <c r="O146" s="44"/>
      <c r="P146" s="17"/>
      <c r="Q146" s="60" t="str">
        <f t="shared" si="18"/>
        <v/>
      </c>
      <c r="R146" s="60" t="str">
        <f t="shared" si="19"/>
        <v/>
      </c>
      <c r="S146" s="61" t="str">
        <f t="shared" si="20"/>
        <v>-</v>
      </c>
      <c r="T146" s="61"/>
      <c r="U146" s="61"/>
      <c r="V146" s="61"/>
      <c r="W146" s="61"/>
      <c r="X146" s="61"/>
      <c r="Y146" s="61"/>
    </row>
    <row r="147" spans="1:81" s="62" customFormat="1" ht="35.1" customHeight="1">
      <c r="A147" s="63"/>
      <c r="B147" s="64"/>
      <c r="C147" s="64"/>
      <c r="D147" s="65"/>
      <c r="E147" s="65"/>
      <c r="F147" s="65"/>
      <c r="G147" s="65"/>
      <c r="H147" s="65"/>
      <c r="I147" s="65"/>
      <c r="J147" s="18"/>
      <c r="K147" s="65"/>
      <c r="L147" s="65"/>
      <c r="M147" s="44"/>
      <c r="N147" s="44"/>
      <c r="O147" s="44"/>
      <c r="P147" s="17"/>
      <c r="Q147" s="60" t="str">
        <f t="shared" si="18"/>
        <v/>
      </c>
      <c r="R147" s="60" t="str">
        <f t="shared" si="19"/>
        <v/>
      </c>
      <c r="S147" s="61" t="str">
        <f t="shared" si="20"/>
        <v>-</v>
      </c>
      <c r="T147" s="61"/>
      <c r="U147" s="61"/>
      <c r="V147" s="61"/>
      <c r="W147" s="61"/>
      <c r="X147" s="61"/>
      <c r="Y147" s="61"/>
    </row>
    <row r="148" spans="1:81" s="62" customFormat="1" ht="35.1" customHeight="1">
      <c r="A148" s="63"/>
      <c r="B148" s="64"/>
      <c r="C148" s="64"/>
      <c r="D148" s="65"/>
      <c r="E148" s="65"/>
      <c r="F148" s="65"/>
      <c r="G148" s="65"/>
      <c r="H148" s="65"/>
      <c r="I148" s="65"/>
      <c r="J148" s="18"/>
      <c r="K148" s="65"/>
      <c r="L148" s="65"/>
      <c r="M148" s="44"/>
      <c r="N148" s="44"/>
      <c r="O148" s="44"/>
      <c r="P148" s="17"/>
      <c r="Q148" s="60" t="str">
        <f t="shared" si="18"/>
        <v/>
      </c>
      <c r="R148" s="60" t="str">
        <f t="shared" si="19"/>
        <v/>
      </c>
      <c r="S148" s="61" t="str">
        <f t="shared" si="20"/>
        <v>-</v>
      </c>
      <c r="T148" s="61"/>
      <c r="U148" s="61"/>
      <c r="V148" s="61"/>
      <c r="W148" s="61"/>
      <c r="X148" s="61"/>
      <c r="Y148" s="61"/>
    </row>
    <row r="149" spans="1:81" s="62" customFormat="1" ht="35.1" customHeight="1">
      <c r="A149" s="63"/>
      <c r="B149" s="64"/>
      <c r="C149" s="64"/>
      <c r="D149" s="65"/>
      <c r="E149" s="65"/>
      <c r="F149" s="65"/>
      <c r="G149" s="65"/>
      <c r="H149" s="65"/>
      <c r="I149" s="65"/>
      <c r="J149" s="18"/>
      <c r="K149" s="65"/>
      <c r="L149" s="65"/>
      <c r="M149" s="44"/>
      <c r="N149" s="44"/>
      <c r="O149" s="44"/>
      <c r="P149" s="17"/>
      <c r="Q149" s="60" t="str">
        <f t="shared" si="18"/>
        <v/>
      </c>
      <c r="R149" s="60" t="str">
        <f t="shared" si="19"/>
        <v/>
      </c>
      <c r="S149" s="61" t="str">
        <f t="shared" si="20"/>
        <v>-</v>
      </c>
      <c r="T149" s="61"/>
      <c r="U149" s="61"/>
      <c r="V149" s="61"/>
      <c r="W149" s="61"/>
      <c r="X149" s="61"/>
      <c r="Y149" s="61"/>
    </row>
    <row r="150" spans="1:81" s="62" customFormat="1" ht="35.1" customHeight="1">
      <c r="A150" s="63"/>
      <c r="B150" s="64"/>
      <c r="C150" s="64"/>
      <c r="D150" s="65"/>
      <c r="E150" s="65"/>
      <c r="F150" s="65"/>
      <c r="G150" s="65"/>
      <c r="H150" s="65"/>
      <c r="I150" s="65"/>
      <c r="J150" s="18"/>
      <c r="K150" s="65"/>
      <c r="L150" s="65"/>
      <c r="M150" s="44"/>
      <c r="N150" s="44"/>
      <c r="O150" s="44"/>
      <c r="P150" s="17"/>
      <c r="Q150" s="60" t="str">
        <f t="shared" si="18"/>
        <v/>
      </c>
      <c r="R150" s="60" t="str">
        <f t="shared" si="19"/>
        <v/>
      </c>
      <c r="S150" s="61" t="str">
        <f t="shared" si="20"/>
        <v>-</v>
      </c>
      <c r="T150" s="61"/>
      <c r="U150" s="61"/>
      <c r="V150" s="61"/>
      <c r="W150" s="61"/>
      <c r="X150" s="61"/>
      <c r="Y150" s="61"/>
    </row>
    <row r="151" spans="1:81" s="62" customFormat="1" ht="35.1" customHeight="1">
      <c r="A151" s="77"/>
      <c r="B151" s="78"/>
      <c r="C151" s="78"/>
      <c r="D151" s="79"/>
      <c r="E151" s="79"/>
      <c r="F151" s="79"/>
      <c r="G151" s="79"/>
      <c r="H151" s="79"/>
      <c r="I151" s="79"/>
      <c r="J151" s="42"/>
      <c r="K151" s="79"/>
      <c r="L151" s="79"/>
      <c r="M151" s="90"/>
      <c r="N151" s="90"/>
      <c r="O151" s="90"/>
      <c r="P151" s="91"/>
      <c r="Q151" s="60" t="str">
        <f t="shared" si="18"/>
        <v/>
      </c>
      <c r="R151" s="60" t="str">
        <f t="shared" si="19"/>
        <v/>
      </c>
      <c r="S151" s="61" t="str">
        <f t="shared" si="20"/>
        <v>-</v>
      </c>
      <c r="T151" s="61"/>
      <c r="U151" s="61"/>
      <c r="V151" s="61"/>
      <c r="W151" s="61"/>
      <c r="X151" s="61"/>
      <c r="Y151" s="61"/>
    </row>
    <row r="152" spans="1:81" s="73" customFormat="1" ht="35.1" customHeight="1">
      <c r="A152" s="66" t="s">
        <v>41</v>
      </c>
      <c r="B152" s="67"/>
      <c r="C152" s="67"/>
      <c r="D152" s="68"/>
      <c r="E152" s="68"/>
      <c r="F152" s="68"/>
      <c r="G152" s="69"/>
      <c r="H152" s="69">
        <f>SUM(H132:H151)</f>
        <v>0</v>
      </c>
      <c r="I152" s="69">
        <f>SUM(I132:I151)</f>
        <v>0</v>
      </c>
      <c r="J152" s="69">
        <f>SUM(J132:J151)</f>
        <v>0</v>
      </c>
      <c r="K152" s="70"/>
      <c r="L152" s="70"/>
      <c r="M152" s="70"/>
      <c r="N152" s="70"/>
      <c r="O152" s="70"/>
      <c r="P152" s="71"/>
      <c r="Q152" s="60" t="str">
        <f t="shared" si="18"/>
        <v/>
      </c>
      <c r="R152" s="60" t="str">
        <f t="shared" si="19"/>
        <v/>
      </c>
      <c r="S152" s="61"/>
      <c r="T152" s="61"/>
      <c r="U152" s="61"/>
      <c r="V152" s="61"/>
      <c r="W152" s="61"/>
      <c r="X152" s="61"/>
      <c r="Y152" s="61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  <c r="BY152" s="72"/>
      <c r="BZ152" s="72"/>
      <c r="CA152" s="72"/>
      <c r="CB152" s="72"/>
      <c r="CC152" s="72"/>
    </row>
    <row r="153" spans="1:81" s="62" customFormat="1" ht="35.1" customHeight="1">
      <c r="A153" s="87"/>
      <c r="B153" s="82"/>
      <c r="C153" s="82"/>
      <c r="D153" s="80"/>
      <c r="E153" s="80"/>
      <c r="F153" s="80"/>
      <c r="G153" s="59"/>
      <c r="H153" s="19"/>
      <c r="I153" s="59"/>
      <c r="J153" s="19">
        <f>I153-H153</f>
        <v>0</v>
      </c>
      <c r="K153" s="80"/>
      <c r="L153" s="80"/>
      <c r="M153" s="43"/>
      <c r="N153" s="43"/>
      <c r="O153" s="43"/>
      <c r="P153" s="16"/>
      <c r="Q153" s="60" t="str">
        <f>CONCATENATE(D153,K153)</f>
        <v/>
      </c>
      <c r="R153" s="60" t="str">
        <f>CONCATENATE(E153,K153)</f>
        <v/>
      </c>
      <c r="S153" s="61" t="str">
        <f>IF(G153&gt;=I153,"-","err")</f>
        <v>-</v>
      </c>
      <c r="T153" s="61"/>
      <c r="U153" s="61"/>
      <c r="V153" s="61"/>
      <c r="W153" s="61"/>
      <c r="X153" s="61"/>
      <c r="Y153" s="61"/>
    </row>
    <row r="154" spans="1:81" s="62" customFormat="1" ht="35.1" customHeight="1">
      <c r="A154" s="88"/>
      <c r="B154" s="83"/>
      <c r="C154" s="83"/>
      <c r="D154" s="65"/>
      <c r="E154" s="65"/>
      <c r="F154" s="65"/>
      <c r="G154" s="65"/>
      <c r="H154" s="18"/>
      <c r="I154" s="65"/>
      <c r="J154" s="18">
        <f>I154-H154</f>
        <v>0</v>
      </c>
      <c r="K154" s="65"/>
      <c r="L154" s="65"/>
      <c r="M154" s="44"/>
      <c r="N154" s="44">
        <v>0</v>
      </c>
      <c r="O154" s="44">
        <v>0</v>
      </c>
      <c r="P154" s="17"/>
      <c r="Q154" s="60" t="str">
        <f t="shared" ref="Q154:Q173" si="21">CONCATENATE(D154,K154)</f>
        <v/>
      </c>
      <c r="R154" s="60" t="str">
        <f t="shared" ref="R154:R173" si="22">CONCATENATE(E154,K154)</f>
        <v/>
      </c>
      <c r="S154" s="61" t="str">
        <f t="shared" ref="S154:S172" si="23">IF(G154&gt;=I154,"-","err")</f>
        <v>-</v>
      </c>
      <c r="T154" s="61"/>
      <c r="U154" s="61"/>
      <c r="V154" s="61"/>
      <c r="W154" s="61"/>
      <c r="X154" s="61"/>
      <c r="Y154" s="61"/>
    </row>
    <row r="155" spans="1:81" s="62" customFormat="1" ht="35.1" customHeight="1">
      <c r="A155" s="88"/>
      <c r="B155" s="86"/>
      <c r="C155" s="86"/>
      <c r="D155" s="65"/>
      <c r="E155" s="65"/>
      <c r="F155" s="65"/>
      <c r="G155" s="65"/>
      <c r="H155" s="18"/>
      <c r="I155" s="65"/>
      <c r="J155" s="18">
        <f>I155-H155</f>
        <v>0</v>
      </c>
      <c r="K155" s="65"/>
      <c r="L155" s="65"/>
      <c r="M155" s="44"/>
      <c r="N155" s="44">
        <v>0</v>
      </c>
      <c r="O155" s="44">
        <v>0</v>
      </c>
      <c r="P155" s="17"/>
      <c r="Q155" s="60" t="str">
        <f t="shared" si="21"/>
        <v/>
      </c>
      <c r="R155" s="60" t="str">
        <f t="shared" si="22"/>
        <v/>
      </c>
      <c r="S155" s="61" t="str">
        <f t="shared" si="23"/>
        <v>-</v>
      </c>
      <c r="T155" s="61"/>
      <c r="U155" s="61"/>
      <c r="V155" s="61"/>
      <c r="W155" s="61"/>
      <c r="X155" s="61"/>
      <c r="Y155" s="61"/>
    </row>
    <row r="156" spans="1:81" s="62" customFormat="1" ht="35.1" customHeight="1">
      <c r="A156" s="88"/>
      <c r="B156" s="86"/>
      <c r="C156" s="86"/>
      <c r="D156" s="65"/>
      <c r="E156" s="65"/>
      <c r="F156" s="65"/>
      <c r="G156" s="65"/>
      <c r="H156" s="18"/>
      <c r="I156" s="65"/>
      <c r="J156" s="18">
        <f>I156-H156</f>
        <v>0</v>
      </c>
      <c r="K156" s="65"/>
      <c r="L156" s="65"/>
      <c r="M156" s="44"/>
      <c r="N156" s="44">
        <v>0</v>
      </c>
      <c r="O156" s="44">
        <v>0</v>
      </c>
      <c r="P156" s="17"/>
      <c r="Q156" s="60" t="str">
        <f t="shared" si="21"/>
        <v/>
      </c>
      <c r="R156" s="60" t="str">
        <f t="shared" si="22"/>
        <v/>
      </c>
      <c r="S156" s="61" t="str">
        <f t="shared" si="23"/>
        <v>-</v>
      </c>
      <c r="T156" s="61"/>
      <c r="U156" s="61"/>
      <c r="V156" s="61"/>
      <c r="W156" s="61"/>
      <c r="X156" s="61"/>
      <c r="Y156" s="61"/>
    </row>
    <row r="157" spans="1:81" s="62" customFormat="1" ht="35.1" customHeight="1">
      <c r="A157" s="88"/>
      <c r="B157" s="86"/>
      <c r="C157" s="86"/>
      <c r="D157" s="65"/>
      <c r="E157" s="65"/>
      <c r="F157" s="65"/>
      <c r="G157" s="65"/>
      <c r="H157" s="18"/>
      <c r="I157" s="65"/>
      <c r="J157" s="18">
        <f>I157-H157</f>
        <v>0</v>
      </c>
      <c r="K157" s="65"/>
      <c r="L157" s="65"/>
      <c r="M157" s="44"/>
      <c r="N157" s="44">
        <v>0</v>
      </c>
      <c r="O157" s="44">
        <v>0</v>
      </c>
      <c r="P157" s="17"/>
      <c r="Q157" s="60" t="str">
        <f t="shared" si="21"/>
        <v/>
      </c>
      <c r="R157" s="60" t="str">
        <f t="shared" si="22"/>
        <v/>
      </c>
      <c r="S157" s="61" t="str">
        <f t="shared" si="23"/>
        <v>-</v>
      </c>
      <c r="T157" s="61"/>
      <c r="U157" s="61"/>
      <c r="V157" s="61"/>
      <c r="W157" s="61"/>
      <c r="X157" s="61"/>
      <c r="Y157" s="61"/>
    </row>
    <row r="158" spans="1:81" s="62" customFormat="1" ht="35.1" customHeight="1">
      <c r="A158" s="63"/>
      <c r="B158" s="83"/>
      <c r="C158" s="83"/>
      <c r="D158" s="65"/>
      <c r="E158" s="65"/>
      <c r="F158" s="65"/>
      <c r="G158" s="65"/>
      <c r="H158" s="76"/>
      <c r="I158" s="65"/>
      <c r="J158" s="18"/>
      <c r="K158" s="65"/>
      <c r="L158" s="65"/>
      <c r="M158" s="44"/>
      <c r="N158" s="44">
        <v>0</v>
      </c>
      <c r="O158" s="44">
        <v>0</v>
      </c>
      <c r="P158" s="17"/>
      <c r="Q158" s="60" t="str">
        <f t="shared" si="21"/>
        <v/>
      </c>
      <c r="R158" s="60" t="str">
        <f t="shared" si="22"/>
        <v/>
      </c>
      <c r="S158" s="61" t="str">
        <f t="shared" si="23"/>
        <v>-</v>
      </c>
      <c r="T158" s="61"/>
      <c r="U158" s="61"/>
      <c r="V158" s="61"/>
      <c r="W158" s="61"/>
      <c r="X158" s="61"/>
      <c r="Y158" s="61"/>
    </row>
    <row r="159" spans="1:81" s="62" customFormat="1" ht="35.1" customHeight="1">
      <c r="A159" s="63"/>
      <c r="B159" s="83"/>
      <c r="C159" s="83"/>
      <c r="D159" s="81"/>
      <c r="E159" s="81"/>
      <c r="F159" s="81"/>
      <c r="G159" s="65"/>
      <c r="H159" s="85"/>
      <c r="I159" s="65"/>
      <c r="J159" s="18"/>
      <c r="K159" s="81"/>
      <c r="L159" s="81"/>
      <c r="M159" s="44"/>
      <c r="N159" s="44"/>
      <c r="O159" s="44"/>
      <c r="P159" s="17"/>
      <c r="Q159" s="60" t="str">
        <f t="shared" si="21"/>
        <v/>
      </c>
      <c r="R159" s="60" t="str">
        <f t="shared" si="22"/>
        <v/>
      </c>
      <c r="S159" s="61" t="str">
        <f t="shared" si="23"/>
        <v>-</v>
      </c>
      <c r="T159" s="61"/>
      <c r="U159" s="61"/>
      <c r="V159" s="61"/>
      <c r="W159" s="61"/>
      <c r="X159" s="61"/>
      <c r="Y159" s="61"/>
    </row>
    <row r="160" spans="1:81" s="62" customFormat="1" ht="35.1" customHeight="1">
      <c r="A160" s="63"/>
      <c r="B160" s="83"/>
      <c r="C160" s="83"/>
      <c r="D160" s="81"/>
      <c r="E160" s="81"/>
      <c r="F160" s="81"/>
      <c r="G160" s="65"/>
      <c r="H160" s="85"/>
      <c r="I160" s="65"/>
      <c r="J160" s="18"/>
      <c r="K160" s="81"/>
      <c r="L160" s="81"/>
      <c r="M160" s="44"/>
      <c r="N160" s="44">
        <v>0</v>
      </c>
      <c r="O160" s="44">
        <v>0</v>
      </c>
      <c r="P160" s="17"/>
      <c r="Q160" s="60" t="str">
        <f t="shared" si="21"/>
        <v/>
      </c>
      <c r="R160" s="60" t="str">
        <f t="shared" si="22"/>
        <v/>
      </c>
      <c r="S160" s="61" t="str">
        <f t="shared" si="23"/>
        <v>-</v>
      </c>
      <c r="T160" s="61"/>
      <c r="U160" s="61"/>
      <c r="V160" s="61"/>
      <c r="W160" s="61"/>
      <c r="X160" s="61"/>
      <c r="Y160" s="61"/>
    </row>
    <row r="161" spans="1:81" s="62" customFormat="1" ht="35.1" customHeight="1">
      <c r="A161" s="63"/>
      <c r="B161" s="83"/>
      <c r="C161" s="83"/>
      <c r="D161" s="81"/>
      <c r="E161" s="81"/>
      <c r="F161" s="81"/>
      <c r="G161" s="65"/>
      <c r="H161" s="85"/>
      <c r="I161" s="65"/>
      <c r="J161" s="18"/>
      <c r="K161" s="81"/>
      <c r="L161" s="81"/>
      <c r="M161" s="44">
        <v>0</v>
      </c>
      <c r="N161" s="44">
        <v>0</v>
      </c>
      <c r="O161" s="44">
        <v>0</v>
      </c>
      <c r="P161" s="17"/>
      <c r="Q161" s="60" t="str">
        <f t="shared" si="21"/>
        <v/>
      </c>
      <c r="R161" s="60" t="str">
        <f t="shared" si="22"/>
        <v/>
      </c>
      <c r="S161" s="61" t="str">
        <f t="shared" si="23"/>
        <v>-</v>
      </c>
      <c r="T161" s="61"/>
      <c r="U161" s="61"/>
      <c r="V161" s="61"/>
      <c r="W161" s="61"/>
      <c r="X161" s="61"/>
      <c r="Y161" s="61"/>
    </row>
    <row r="162" spans="1:81" s="62" customFormat="1" ht="35.1" customHeight="1">
      <c r="A162" s="63"/>
      <c r="B162" s="83"/>
      <c r="C162" s="83"/>
      <c r="D162" s="81"/>
      <c r="E162" s="81"/>
      <c r="F162" s="81"/>
      <c r="G162" s="65"/>
      <c r="H162" s="85"/>
      <c r="I162" s="65"/>
      <c r="J162" s="18"/>
      <c r="K162" s="81"/>
      <c r="L162" s="81"/>
      <c r="M162" s="44">
        <v>0</v>
      </c>
      <c r="N162" s="44">
        <v>0</v>
      </c>
      <c r="O162" s="44">
        <v>0</v>
      </c>
      <c r="P162" s="17"/>
      <c r="Q162" s="60" t="str">
        <f t="shared" si="21"/>
        <v/>
      </c>
      <c r="R162" s="60" t="str">
        <f t="shared" si="22"/>
        <v/>
      </c>
      <c r="S162" s="61" t="str">
        <f t="shared" si="23"/>
        <v>-</v>
      </c>
      <c r="T162" s="61"/>
      <c r="U162" s="61"/>
      <c r="V162" s="61"/>
      <c r="W162" s="61"/>
      <c r="X162" s="61"/>
      <c r="Y162" s="61"/>
    </row>
    <row r="163" spans="1:81" s="62" customFormat="1" ht="35.1" customHeight="1">
      <c r="A163" s="63"/>
      <c r="B163" s="83"/>
      <c r="C163" s="83"/>
      <c r="D163" s="81"/>
      <c r="E163" s="81"/>
      <c r="F163" s="81"/>
      <c r="G163" s="65"/>
      <c r="H163" s="85"/>
      <c r="I163" s="65"/>
      <c r="J163" s="18"/>
      <c r="K163" s="81"/>
      <c r="L163" s="81"/>
      <c r="M163" s="44">
        <v>0</v>
      </c>
      <c r="N163" s="44">
        <v>0</v>
      </c>
      <c r="O163" s="44">
        <v>0</v>
      </c>
      <c r="P163" s="17"/>
      <c r="Q163" s="60" t="str">
        <f t="shared" si="21"/>
        <v/>
      </c>
      <c r="R163" s="60" t="str">
        <f t="shared" si="22"/>
        <v/>
      </c>
      <c r="S163" s="61" t="str">
        <f t="shared" si="23"/>
        <v>-</v>
      </c>
      <c r="T163" s="61"/>
      <c r="U163" s="61"/>
      <c r="V163" s="61"/>
      <c r="W163" s="61"/>
      <c r="X163" s="61"/>
      <c r="Y163" s="61"/>
    </row>
    <row r="164" spans="1:81" s="62" customFormat="1" ht="35.1" customHeight="1">
      <c r="A164" s="63"/>
      <c r="B164" s="64"/>
      <c r="C164" s="64"/>
      <c r="D164" s="65"/>
      <c r="E164" s="65"/>
      <c r="F164" s="65"/>
      <c r="G164" s="65"/>
      <c r="H164" s="65"/>
      <c r="I164" s="65"/>
      <c r="J164" s="18"/>
      <c r="K164" s="65"/>
      <c r="L164" s="65"/>
      <c r="M164" s="44"/>
      <c r="N164" s="44"/>
      <c r="O164" s="44"/>
      <c r="P164" s="17"/>
      <c r="Q164" s="60" t="str">
        <f t="shared" si="21"/>
        <v/>
      </c>
      <c r="R164" s="60" t="str">
        <f t="shared" si="22"/>
        <v/>
      </c>
      <c r="S164" s="61" t="str">
        <f t="shared" si="23"/>
        <v>-</v>
      </c>
      <c r="T164" s="61"/>
      <c r="U164" s="61"/>
      <c r="V164" s="61"/>
      <c r="W164" s="61"/>
      <c r="X164" s="61"/>
      <c r="Y164" s="61"/>
    </row>
    <row r="165" spans="1:81" s="62" customFormat="1" ht="35.1" customHeight="1">
      <c r="A165" s="63"/>
      <c r="B165" s="64"/>
      <c r="C165" s="64"/>
      <c r="D165" s="65"/>
      <c r="E165" s="65"/>
      <c r="F165" s="65"/>
      <c r="G165" s="65"/>
      <c r="H165" s="65"/>
      <c r="I165" s="65"/>
      <c r="J165" s="18"/>
      <c r="K165" s="65"/>
      <c r="L165" s="65"/>
      <c r="M165" s="44"/>
      <c r="N165" s="44"/>
      <c r="O165" s="44"/>
      <c r="P165" s="17"/>
      <c r="Q165" s="60" t="str">
        <f t="shared" si="21"/>
        <v/>
      </c>
      <c r="R165" s="60" t="str">
        <f t="shared" si="22"/>
        <v/>
      </c>
      <c r="S165" s="61" t="str">
        <f t="shared" si="23"/>
        <v>-</v>
      </c>
      <c r="T165" s="61"/>
      <c r="U165" s="61"/>
      <c r="V165" s="61"/>
      <c r="W165" s="61"/>
      <c r="X165" s="61"/>
      <c r="Y165" s="61"/>
    </row>
    <row r="166" spans="1:81" s="62" customFormat="1" ht="35.1" customHeight="1">
      <c r="A166" s="63"/>
      <c r="B166" s="64"/>
      <c r="C166" s="64"/>
      <c r="D166" s="65"/>
      <c r="E166" s="65"/>
      <c r="F166" s="65"/>
      <c r="G166" s="65"/>
      <c r="H166" s="65"/>
      <c r="I166" s="65"/>
      <c r="J166" s="18"/>
      <c r="K166" s="65"/>
      <c r="L166" s="65"/>
      <c r="M166" s="44"/>
      <c r="N166" s="44"/>
      <c r="O166" s="44"/>
      <c r="P166" s="17"/>
      <c r="Q166" s="60" t="str">
        <f t="shared" si="21"/>
        <v/>
      </c>
      <c r="R166" s="60" t="str">
        <f t="shared" si="22"/>
        <v/>
      </c>
      <c r="S166" s="61" t="str">
        <f t="shared" si="23"/>
        <v>-</v>
      </c>
      <c r="T166" s="61"/>
      <c r="U166" s="61"/>
      <c r="V166" s="61"/>
      <c r="W166" s="61"/>
      <c r="X166" s="61"/>
      <c r="Y166" s="61"/>
    </row>
    <row r="167" spans="1:81" s="62" customFormat="1" ht="35.1" customHeight="1">
      <c r="A167" s="63"/>
      <c r="B167" s="64"/>
      <c r="C167" s="64"/>
      <c r="D167" s="65"/>
      <c r="E167" s="65"/>
      <c r="F167" s="65"/>
      <c r="G167" s="65"/>
      <c r="H167" s="65"/>
      <c r="I167" s="65"/>
      <c r="J167" s="18"/>
      <c r="K167" s="65"/>
      <c r="L167" s="65"/>
      <c r="M167" s="44"/>
      <c r="N167" s="44"/>
      <c r="O167" s="44"/>
      <c r="P167" s="17"/>
      <c r="Q167" s="60" t="str">
        <f t="shared" si="21"/>
        <v/>
      </c>
      <c r="R167" s="60" t="str">
        <f t="shared" si="22"/>
        <v/>
      </c>
      <c r="S167" s="61" t="str">
        <f t="shared" si="23"/>
        <v>-</v>
      </c>
      <c r="T167" s="61"/>
      <c r="U167" s="61"/>
      <c r="V167" s="61"/>
      <c r="W167" s="61"/>
      <c r="X167" s="61"/>
      <c r="Y167" s="61"/>
    </row>
    <row r="168" spans="1:81" s="62" customFormat="1" ht="35.1" customHeight="1">
      <c r="A168" s="63"/>
      <c r="B168" s="64"/>
      <c r="C168" s="64"/>
      <c r="D168" s="65"/>
      <c r="E168" s="65"/>
      <c r="F168" s="65"/>
      <c r="G168" s="65"/>
      <c r="H168" s="65"/>
      <c r="I168" s="65"/>
      <c r="J168" s="18"/>
      <c r="K168" s="65"/>
      <c r="L168" s="65"/>
      <c r="M168" s="44"/>
      <c r="N168" s="44"/>
      <c r="O168" s="44"/>
      <c r="P168" s="17"/>
      <c r="Q168" s="60" t="str">
        <f t="shared" si="21"/>
        <v/>
      </c>
      <c r="R168" s="60" t="str">
        <f t="shared" si="22"/>
        <v/>
      </c>
      <c r="S168" s="61" t="str">
        <f t="shared" si="23"/>
        <v>-</v>
      </c>
      <c r="T168" s="61"/>
      <c r="U168" s="61"/>
      <c r="V168" s="61"/>
      <c r="W168" s="61"/>
      <c r="X168" s="61"/>
      <c r="Y168" s="61"/>
    </row>
    <row r="169" spans="1:81" s="62" customFormat="1" ht="35.1" customHeight="1">
      <c r="A169" s="63"/>
      <c r="B169" s="64"/>
      <c r="C169" s="64"/>
      <c r="D169" s="65"/>
      <c r="E169" s="65"/>
      <c r="F169" s="65"/>
      <c r="G169" s="65"/>
      <c r="H169" s="65"/>
      <c r="I169" s="65"/>
      <c r="J169" s="18"/>
      <c r="K169" s="65"/>
      <c r="L169" s="65"/>
      <c r="M169" s="44"/>
      <c r="N169" s="44"/>
      <c r="O169" s="44"/>
      <c r="P169" s="17"/>
      <c r="Q169" s="60" t="str">
        <f t="shared" si="21"/>
        <v/>
      </c>
      <c r="R169" s="60" t="str">
        <f t="shared" si="22"/>
        <v/>
      </c>
      <c r="S169" s="61" t="str">
        <f t="shared" si="23"/>
        <v>-</v>
      </c>
      <c r="T169" s="61"/>
      <c r="U169" s="61"/>
      <c r="V169" s="61"/>
      <c r="W169" s="61"/>
      <c r="X169" s="61"/>
      <c r="Y169" s="61"/>
    </row>
    <row r="170" spans="1:81" s="62" customFormat="1" ht="35.1" customHeight="1">
      <c r="A170" s="63"/>
      <c r="B170" s="64"/>
      <c r="C170" s="64"/>
      <c r="D170" s="65"/>
      <c r="E170" s="65"/>
      <c r="F170" s="65"/>
      <c r="G170" s="65"/>
      <c r="H170" s="65"/>
      <c r="I170" s="65"/>
      <c r="J170" s="18"/>
      <c r="K170" s="65"/>
      <c r="L170" s="65"/>
      <c r="M170" s="44"/>
      <c r="N170" s="44"/>
      <c r="O170" s="44"/>
      <c r="P170" s="17"/>
      <c r="Q170" s="60" t="str">
        <f t="shared" si="21"/>
        <v/>
      </c>
      <c r="R170" s="60" t="str">
        <f t="shared" si="22"/>
        <v/>
      </c>
      <c r="S170" s="61" t="str">
        <f t="shared" si="23"/>
        <v>-</v>
      </c>
      <c r="T170" s="61"/>
      <c r="U170" s="61"/>
      <c r="V170" s="61"/>
      <c r="W170" s="61"/>
      <c r="X170" s="61"/>
      <c r="Y170" s="61"/>
    </row>
    <row r="171" spans="1:81" s="62" customFormat="1" ht="35.1" customHeight="1">
      <c r="A171" s="63"/>
      <c r="B171" s="64"/>
      <c r="C171" s="64"/>
      <c r="D171" s="65"/>
      <c r="E171" s="65"/>
      <c r="F171" s="65"/>
      <c r="G171" s="65"/>
      <c r="H171" s="65"/>
      <c r="I171" s="65"/>
      <c r="J171" s="18"/>
      <c r="K171" s="65"/>
      <c r="L171" s="65"/>
      <c r="M171" s="44"/>
      <c r="N171" s="44"/>
      <c r="O171" s="44"/>
      <c r="P171" s="17"/>
      <c r="Q171" s="60" t="str">
        <f t="shared" si="21"/>
        <v/>
      </c>
      <c r="R171" s="60" t="str">
        <f t="shared" si="22"/>
        <v/>
      </c>
      <c r="S171" s="61" t="str">
        <f t="shared" si="23"/>
        <v>-</v>
      </c>
      <c r="T171" s="61"/>
      <c r="U171" s="61"/>
      <c r="V171" s="61"/>
      <c r="W171" s="61"/>
      <c r="X171" s="61"/>
      <c r="Y171" s="61"/>
    </row>
    <row r="172" spans="1:81" s="62" customFormat="1" ht="35.1" customHeight="1">
      <c r="A172" s="77"/>
      <c r="B172" s="78"/>
      <c r="C172" s="78"/>
      <c r="D172" s="79"/>
      <c r="E172" s="79"/>
      <c r="F172" s="79"/>
      <c r="G172" s="79"/>
      <c r="H172" s="79"/>
      <c r="I172" s="79"/>
      <c r="J172" s="42"/>
      <c r="K172" s="79"/>
      <c r="L172" s="79"/>
      <c r="M172" s="90"/>
      <c r="N172" s="90"/>
      <c r="O172" s="90"/>
      <c r="P172" s="91"/>
      <c r="Q172" s="60" t="str">
        <f t="shared" si="21"/>
        <v/>
      </c>
      <c r="R172" s="60" t="str">
        <f t="shared" si="22"/>
        <v/>
      </c>
      <c r="S172" s="61" t="str">
        <f t="shared" si="23"/>
        <v>-</v>
      </c>
      <c r="T172" s="61"/>
      <c r="U172" s="61"/>
      <c r="V172" s="61"/>
      <c r="W172" s="61"/>
      <c r="X172" s="61"/>
      <c r="Y172" s="61"/>
    </row>
    <row r="173" spans="1:81" s="73" customFormat="1" ht="35.1" customHeight="1">
      <c r="A173" s="66" t="s">
        <v>41</v>
      </c>
      <c r="B173" s="67"/>
      <c r="C173" s="67"/>
      <c r="D173" s="68"/>
      <c r="E173" s="68"/>
      <c r="F173" s="68"/>
      <c r="G173" s="69"/>
      <c r="H173" s="69">
        <f>SUM(H153:H172)</f>
        <v>0</v>
      </c>
      <c r="I173" s="69">
        <f>SUM(I153:I172)</f>
        <v>0</v>
      </c>
      <c r="J173" s="69">
        <f>SUM(J153:J172)</f>
        <v>0</v>
      </c>
      <c r="K173" s="70"/>
      <c r="L173" s="70"/>
      <c r="M173" s="70"/>
      <c r="N173" s="70"/>
      <c r="O173" s="70"/>
      <c r="P173" s="71"/>
      <c r="Q173" s="60" t="str">
        <f t="shared" si="21"/>
        <v/>
      </c>
      <c r="R173" s="60" t="str">
        <f t="shared" si="22"/>
        <v/>
      </c>
      <c r="S173" s="61"/>
      <c r="T173" s="61"/>
      <c r="U173" s="61"/>
      <c r="V173" s="61"/>
      <c r="W173" s="61"/>
      <c r="X173" s="61"/>
      <c r="Y173" s="61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  <c r="BY173" s="72"/>
      <c r="BZ173" s="72"/>
      <c r="CA173" s="72"/>
      <c r="CB173" s="72"/>
      <c r="CC173" s="72"/>
    </row>
    <row r="174" spans="1:81" s="62" customFormat="1" ht="35.1" customHeight="1">
      <c r="A174" s="87"/>
      <c r="B174" s="82"/>
      <c r="C174" s="82"/>
      <c r="D174" s="80"/>
      <c r="E174" s="80"/>
      <c r="F174" s="80"/>
      <c r="G174" s="59"/>
      <c r="H174" s="19"/>
      <c r="I174" s="59"/>
      <c r="J174" s="19">
        <f>I174-H174</f>
        <v>0</v>
      </c>
      <c r="K174" s="80"/>
      <c r="L174" s="80"/>
      <c r="M174" s="43"/>
      <c r="N174" s="43"/>
      <c r="O174" s="43"/>
      <c r="P174" s="16"/>
      <c r="Q174" s="60" t="str">
        <f>CONCATENATE(D174,K174)</f>
        <v/>
      </c>
      <c r="R174" s="60" t="str">
        <f>CONCATENATE(E174,K174)</f>
        <v/>
      </c>
      <c r="S174" s="61" t="str">
        <f>IF(G174&gt;=I174,"-","err")</f>
        <v>-</v>
      </c>
      <c r="T174" s="61"/>
      <c r="U174" s="61"/>
      <c r="V174" s="61"/>
      <c r="W174" s="61"/>
      <c r="X174" s="61"/>
      <c r="Y174" s="61"/>
    </row>
    <row r="175" spans="1:81" s="62" customFormat="1" ht="35.1" customHeight="1">
      <c r="A175" s="88"/>
      <c r="B175" s="83"/>
      <c r="C175" s="83"/>
      <c r="D175" s="65"/>
      <c r="E175" s="65"/>
      <c r="F175" s="65"/>
      <c r="G175" s="65"/>
      <c r="H175" s="18"/>
      <c r="I175" s="65"/>
      <c r="J175" s="18">
        <f>I175-H175</f>
        <v>0</v>
      </c>
      <c r="K175" s="65"/>
      <c r="L175" s="65"/>
      <c r="M175" s="44"/>
      <c r="N175" s="44">
        <v>0</v>
      </c>
      <c r="O175" s="44">
        <v>0</v>
      </c>
      <c r="P175" s="17"/>
      <c r="Q175" s="60" t="str">
        <f t="shared" ref="Q175:Q194" si="24">CONCATENATE(D175,K175)</f>
        <v/>
      </c>
      <c r="R175" s="60" t="str">
        <f t="shared" ref="R175:R194" si="25">CONCATENATE(E175,K175)</f>
        <v/>
      </c>
      <c r="S175" s="61" t="str">
        <f t="shared" ref="S175:S193" si="26">IF(G175&gt;=I175,"-","err")</f>
        <v>-</v>
      </c>
      <c r="T175" s="61"/>
      <c r="U175" s="61"/>
      <c r="V175" s="61"/>
      <c r="W175" s="61"/>
      <c r="X175" s="61"/>
      <c r="Y175" s="61"/>
    </row>
    <row r="176" spans="1:81" s="62" customFormat="1" ht="35.1" customHeight="1">
      <c r="A176" s="88"/>
      <c r="B176" s="86"/>
      <c r="C176" s="86"/>
      <c r="D176" s="65"/>
      <c r="E176" s="65"/>
      <c r="F176" s="65"/>
      <c r="G176" s="65"/>
      <c r="H176" s="18"/>
      <c r="I176" s="65"/>
      <c r="J176" s="18">
        <f>I176-H176</f>
        <v>0</v>
      </c>
      <c r="K176" s="65"/>
      <c r="L176" s="65"/>
      <c r="M176" s="44"/>
      <c r="N176" s="44">
        <v>0</v>
      </c>
      <c r="O176" s="44">
        <v>0</v>
      </c>
      <c r="P176" s="17"/>
      <c r="Q176" s="60" t="str">
        <f t="shared" si="24"/>
        <v/>
      </c>
      <c r="R176" s="60" t="str">
        <f t="shared" si="25"/>
        <v/>
      </c>
      <c r="S176" s="61" t="str">
        <f t="shared" si="26"/>
        <v>-</v>
      </c>
      <c r="T176" s="61"/>
      <c r="U176" s="61"/>
      <c r="V176" s="61"/>
      <c r="W176" s="61"/>
      <c r="X176" s="61"/>
      <c r="Y176" s="61"/>
    </row>
    <row r="177" spans="1:25" s="62" customFormat="1" ht="35.1" customHeight="1">
      <c r="A177" s="88"/>
      <c r="B177" s="86"/>
      <c r="C177" s="86"/>
      <c r="D177" s="65"/>
      <c r="E177" s="65"/>
      <c r="F177" s="65"/>
      <c r="G177" s="65"/>
      <c r="H177" s="18"/>
      <c r="I177" s="65"/>
      <c r="J177" s="18">
        <f>I177-H177</f>
        <v>0</v>
      </c>
      <c r="K177" s="65"/>
      <c r="L177" s="65"/>
      <c r="M177" s="44"/>
      <c r="N177" s="44">
        <v>0</v>
      </c>
      <c r="O177" s="44">
        <v>0</v>
      </c>
      <c r="P177" s="17"/>
      <c r="Q177" s="60" t="str">
        <f t="shared" si="24"/>
        <v/>
      </c>
      <c r="R177" s="60" t="str">
        <f t="shared" si="25"/>
        <v/>
      </c>
      <c r="S177" s="61" t="str">
        <f t="shared" si="26"/>
        <v>-</v>
      </c>
      <c r="T177" s="61"/>
      <c r="U177" s="61"/>
      <c r="V177" s="61"/>
      <c r="W177" s="61"/>
      <c r="X177" s="61"/>
      <c r="Y177" s="61"/>
    </row>
    <row r="178" spans="1:25" s="62" customFormat="1" ht="35.1" customHeight="1">
      <c r="A178" s="88"/>
      <c r="B178" s="86"/>
      <c r="C178" s="86"/>
      <c r="D178" s="65"/>
      <c r="E178" s="65"/>
      <c r="F178" s="65"/>
      <c r="G178" s="65"/>
      <c r="H178" s="18"/>
      <c r="I178" s="65"/>
      <c r="J178" s="18">
        <f>I178-H178</f>
        <v>0</v>
      </c>
      <c r="K178" s="65"/>
      <c r="L178" s="65"/>
      <c r="M178" s="44"/>
      <c r="N178" s="44">
        <v>0</v>
      </c>
      <c r="O178" s="44">
        <v>0</v>
      </c>
      <c r="P178" s="17"/>
      <c r="Q178" s="60" t="str">
        <f t="shared" si="24"/>
        <v/>
      </c>
      <c r="R178" s="60" t="str">
        <f t="shared" si="25"/>
        <v/>
      </c>
      <c r="S178" s="61" t="str">
        <f t="shared" si="26"/>
        <v>-</v>
      </c>
      <c r="T178" s="61"/>
      <c r="U178" s="61"/>
      <c r="V178" s="61"/>
      <c r="W178" s="61"/>
      <c r="X178" s="61"/>
      <c r="Y178" s="61"/>
    </row>
    <row r="179" spans="1:25" s="62" customFormat="1" ht="35.1" customHeight="1">
      <c r="A179" s="63"/>
      <c r="B179" s="83"/>
      <c r="C179" s="83"/>
      <c r="D179" s="65"/>
      <c r="E179" s="65"/>
      <c r="F179" s="65"/>
      <c r="G179" s="65"/>
      <c r="H179" s="76"/>
      <c r="I179" s="65"/>
      <c r="J179" s="18"/>
      <c r="K179" s="65"/>
      <c r="L179" s="65"/>
      <c r="M179" s="44"/>
      <c r="N179" s="44">
        <v>0</v>
      </c>
      <c r="O179" s="44">
        <v>0</v>
      </c>
      <c r="P179" s="17"/>
      <c r="Q179" s="60" t="str">
        <f t="shared" si="24"/>
        <v/>
      </c>
      <c r="R179" s="60" t="str">
        <f t="shared" si="25"/>
        <v/>
      </c>
      <c r="S179" s="61" t="str">
        <f t="shared" si="26"/>
        <v>-</v>
      </c>
      <c r="T179" s="61"/>
      <c r="U179" s="61"/>
      <c r="V179" s="61"/>
      <c r="W179" s="61"/>
      <c r="X179" s="61"/>
      <c r="Y179" s="61"/>
    </row>
    <row r="180" spans="1:25" s="62" customFormat="1" ht="35.1" customHeight="1">
      <c r="A180" s="63"/>
      <c r="B180" s="83"/>
      <c r="C180" s="83"/>
      <c r="D180" s="81"/>
      <c r="E180" s="81"/>
      <c r="F180" s="81"/>
      <c r="G180" s="65"/>
      <c r="H180" s="85"/>
      <c r="I180" s="65"/>
      <c r="J180" s="18"/>
      <c r="K180" s="81"/>
      <c r="L180" s="81"/>
      <c r="M180" s="44"/>
      <c r="N180" s="44"/>
      <c r="O180" s="44"/>
      <c r="P180" s="17"/>
      <c r="Q180" s="60" t="str">
        <f t="shared" si="24"/>
        <v/>
      </c>
      <c r="R180" s="60" t="str">
        <f t="shared" si="25"/>
        <v/>
      </c>
      <c r="S180" s="61" t="str">
        <f t="shared" si="26"/>
        <v>-</v>
      </c>
      <c r="T180" s="61"/>
      <c r="U180" s="61"/>
      <c r="V180" s="61"/>
      <c r="W180" s="61"/>
      <c r="X180" s="61"/>
      <c r="Y180" s="61"/>
    </row>
    <row r="181" spans="1:25" s="62" customFormat="1" ht="35.1" customHeight="1">
      <c r="A181" s="63"/>
      <c r="B181" s="83"/>
      <c r="C181" s="83"/>
      <c r="D181" s="81"/>
      <c r="E181" s="81"/>
      <c r="F181" s="81"/>
      <c r="G181" s="65"/>
      <c r="H181" s="85"/>
      <c r="I181" s="65"/>
      <c r="J181" s="18"/>
      <c r="K181" s="81"/>
      <c r="L181" s="81"/>
      <c r="M181" s="44"/>
      <c r="N181" s="44">
        <v>0</v>
      </c>
      <c r="O181" s="44">
        <v>0</v>
      </c>
      <c r="P181" s="17"/>
      <c r="Q181" s="60" t="str">
        <f t="shared" si="24"/>
        <v/>
      </c>
      <c r="R181" s="60" t="str">
        <f t="shared" si="25"/>
        <v/>
      </c>
      <c r="S181" s="61" t="str">
        <f t="shared" si="26"/>
        <v>-</v>
      </c>
      <c r="T181" s="61"/>
      <c r="U181" s="61"/>
      <c r="V181" s="61"/>
      <c r="W181" s="61"/>
      <c r="X181" s="61"/>
      <c r="Y181" s="61"/>
    </row>
    <row r="182" spans="1:25" s="62" customFormat="1" ht="35.1" customHeight="1">
      <c r="A182" s="63"/>
      <c r="B182" s="83"/>
      <c r="C182" s="83"/>
      <c r="D182" s="81"/>
      <c r="E182" s="81"/>
      <c r="F182" s="81"/>
      <c r="G182" s="65"/>
      <c r="H182" s="85"/>
      <c r="I182" s="65"/>
      <c r="J182" s="18"/>
      <c r="K182" s="81"/>
      <c r="L182" s="81"/>
      <c r="M182" s="44">
        <v>0</v>
      </c>
      <c r="N182" s="44">
        <v>0</v>
      </c>
      <c r="O182" s="44">
        <v>0</v>
      </c>
      <c r="P182" s="17"/>
      <c r="Q182" s="60" t="str">
        <f t="shared" si="24"/>
        <v/>
      </c>
      <c r="R182" s="60" t="str">
        <f t="shared" si="25"/>
        <v/>
      </c>
      <c r="S182" s="61" t="str">
        <f t="shared" si="26"/>
        <v>-</v>
      </c>
      <c r="T182" s="61"/>
      <c r="U182" s="61"/>
      <c r="V182" s="61"/>
      <c r="W182" s="61"/>
      <c r="X182" s="61"/>
      <c r="Y182" s="61"/>
    </row>
    <row r="183" spans="1:25" s="62" customFormat="1" ht="35.1" customHeight="1">
      <c r="A183" s="63"/>
      <c r="B183" s="83"/>
      <c r="C183" s="83"/>
      <c r="D183" s="81"/>
      <c r="E183" s="81"/>
      <c r="F183" s="81"/>
      <c r="G183" s="65"/>
      <c r="H183" s="85"/>
      <c r="I183" s="65"/>
      <c r="J183" s="18"/>
      <c r="K183" s="81"/>
      <c r="L183" s="81"/>
      <c r="M183" s="44">
        <v>0</v>
      </c>
      <c r="N183" s="44">
        <v>0</v>
      </c>
      <c r="O183" s="44">
        <v>0</v>
      </c>
      <c r="P183" s="17"/>
      <c r="Q183" s="60" t="str">
        <f t="shared" si="24"/>
        <v/>
      </c>
      <c r="R183" s="60" t="str">
        <f t="shared" si="25"/>
        <v/>
      </c>
      <c r="S183" s="61" t="str">
        <f t="shared" si="26"/>
        <v>-</v>
      </c>
      <c r="T183" s="61"/>
      <c r="U183" s="61"/>
      <c r="V183" s="61"/>
      <c r="W183" s="61"/>
      <c r="X183" s="61"/>
      <c r="Y183" s="61"/>
    </row>
    <row r="184" spans="1:25" s="62" customFormat="1" ht="35.1" customHeight="1">
      <c r="A184" s="63"/>
      <c r="B184" s="83"/>
      <c r="C184" s="83"/>
      <c r="D184" s="81"/>
      <c r="E184" s="81"/>
      <c r="F184" s="81"/>
      <c r="G184" s="65"/>
      <c r="H184" s="85"/>
      <c r="I184" s="65"/>
      <c r="J184" s="18"/>
      <c r="K184" s="81"/>
      <c r="L184" s="81"/>
      <c r="M184" s="44">
        <v>0</v>
      </c>
      <c r="N184" s="44">
        <v>0</v>
      </c>
      <c r="O184" s="44">
        <v>0</v>
      </c>
      <c r="P184" s="17"/>
      <c r="Q184" s="60" t="str">
        <f t="shared" si="24"/>
        <v/>
      </c>
      <c r="R184" s="60" t="str">
        <f t="shared" si="25"/>
        <v/>
      </c>
      <c r="S184" s="61" t="str">
        <f t="shared" si="26"/>
        <v>-</v>
      </c>
      <c r="T184" s="61"/>
      <c r="U184" s="61"/>
      <c r="V184" s="61"/>
      <c r="W184" s="61"/>
      <c r="X184" s="61"/>
      <c r="Y184" s="61"/>
    </row>
    <row r="185" spans="1:25" s="62" customFormat="1" ht="35.1" customHeight="1">
      <c r="A185" s="63"/>
      <c r="B185" s="64"/>
      <c r="C185" s="64"/>
      <c r="D185" s="65"/>
      <c r="E185" s="65"/>
      <c r="F185" s="65"/>
      <c r="G185" s="65"/>
      <c r="H185" s="65"/>
      <c r="I185" s="65"/>
      <c r="J185" s="18"/>
      <c r="K185" s="65"/>
      <c r="L185" s="65"/>
      <c r="M185" s="44"/>
      <c r="N185" s="44"/>
      <c r="O185" s="44"/>
      <c r="P185" s="17"/>
      <c r="Q185" s="60" t="str">
        <f t="shared" si="24"/>
        <v/>
      </c>
      <c r="R185" s="60" t="str">
        <f t="shared" si="25"/>
        <v/>
      </c>
      <c r="S185" s="61" t="str">
        <f t="shared" si="26"/>
        <v>-</v>
      </c>
      <c r="T185" s="61"/>
      <c r="U185" s="61"/>
      <c r="V185" s="61"/>
      <c r="W185" s="61"/>
      <c r="X185" s="61"/>
      <c r="Y185" s="61"/>
    </row>
    <row r="186" spans="1:25" s="62" customFormat="1" ht="35.1" customHeight="1">
      <c r="A186" s="63"/>
      <c r="B186" s="64"/>
      <c r="C186" s="64"/>
      <c r="D186" s="65"/>
      <c r="E186" s="65"/>
      <c r="F186" s="65"/>
      <c r="G186" s="65"/>
      <c r="H186" s="65"/>
      <c r="I186" s="65"/>
      <c r="J186" s="18"/>
      <c r="K186" s="65"/>
      <c r="L186" s="65"/>
      <c r="M186" s="44"/>
      <c r="N186" s="44"/>
      <c r="O186" s="44"/>
      <c r="P186" s="17"/>
      <c r="Q186" s="60" t="str">
        <f t="shared" si="24"/>
        <v/>
      </c>
      <c r="R186" s="60" t="str">
        <f t="shared" si="25"/>
        <v/>
      </c>
      <c r="S186" s="61" t="str">
        <f t="shared" si="26"/>
        <v>-</v>
      </c>
      <c r="T186" s="61"/>
      <c r="U186" s="61"/>
      <c r="V186" s="61"/>
      <c r="W186" s="61"/>
      <c r="X186" s="61"/>
      <c r="Y186" s="61"/>
    </row>
    <row r="187" spans="1:25" s="62" customFormat="1" ht="35.1" customHeight="1">
      <c r="A187" s="63"/>
      <c r="B187" s="64"/>
      <c r="C187" s="64"/>
      <c r="D187" s="65"/>
      <c r="E187" s="65"/>
      <c r="F187" s="65"/>
      <c r="G187" s="65"/>
      <c r="H187" s="65"/>
      <c r="I187" s="65"/>
      <c r="J187" s="18"/>
      <c r="K187" s="65"/>
      <c r="L187" s="65"/>
      <c r="M187" s="44"/>
      <c r="N187" s="44"/>
      <c r="O187" s="44"/>
      <c r="P187" s="17"/>
      <c r="Q187" s="60" t="str">
        <f t="shared" si="24"/>
        <v/>
      </c>
      <c r="R187" s="60" t="str">
        <f t="shared" si="25"/>
        <v/>
      </c>
      <c r="S187" s="61" t="str">
        <f t="shared" si="26"/>
        <v>-</v>
      </c>
      <c r="T187" s="61"/>
      <c r="U187" s="61"/>
      <c r="V187" s="61"/>
      <c r="W187" s="61"/>
      <c r="X187" s="61"/>
      <c r="Y187" s="61"/>
    </row>
    <row r="188" spans="1:25" s="62" customFormat="1" ht="35.1" customHeight="1">
      <c r="A188" s="63"/>
      <c r="B188" s="64"/>
      <c r="C188" s="64"/>
      <c r="D188" s="65"/>
      <c r="E188" s="65"/>
      <c r="F188" s="65"/>
      <c r="G188" s="65"/>
      <c r="H188" s="65"/>
      <c r="I188" s="65"/>
      <c r="J188" s="18"/>
      <c r="K188" s="65"/>
      <c r="L188" s="65"/>
      <c r="M188" s="44"/>
      <c r="N188" s="44"/>
      <c r="O188" s="44"/>
      <c r="P188" s="17"/>
      <c r="Q188" s="60" t="str">
        <f t="shared" si="24"/>
        <v/>
      </c>
      <c r="R188" s="60" t="str">
        <f t="shared" si="25"/>
        <v/>
      </c>
      <c r="S188" s="61" t="str">
        <f t="shared" si="26"/>
        <v>-</v>
      </c>
      <c r="T188" s="61"/>
      <c r="U188" s="61"/>
      <c r="V188" s="61"/>
      <c r="W188" s="61"/>
      <c r="X188" s="61"/>
      <c r="Y188" s="61"/>
    </row>
    <row r="189" spans="1:25" s="62" customFormat="1" ht="35.1" customHeight="1">
      <c r="A189" s="63"/>
      <c r="B189" s="64"/>
      <c r="C189" s="64"/>
      <c r="D189" s="65"/>
      <c r="E189" s="65"/>
      <c r="F189" s="65"/>
      <c r="G189" s="65"/>
      <c r="H189" s="65"/>
      <c r="I189" s="65"/>
      <c r="J189" s="18"/>
      <c r="K189" s="65"/>
      <c r="L189" s="65"/>
      <c r="M189" s="44"/>
      <c r="N189" s="44"/>
      <c r="O189" s="44"/>
      <c r="P189" s="17"/>
      <c r="Q189" s="60" t="str">
        <f t="shared" si="24"/>
        <v/>
      </c>
      <c r="R189" s="60" t="str">
        <f t="shared" si="25"/>
        <v/>
      </c>
      <c r="S189" s="61" t="str">
        <f t="shared" si="26"/>
        <v>-</v>
      </c>
      <c r="T189" s="61"/>
      <c r="U189" s="61"/>
      <c r="V189" s="61"/>
      <c r="W189" s="61"/>
      <c r="X189" s="61"/>
      <c r="Y189" s="61"/>
    </row>
    <row r="190" spans="1:25" s="62" customFormat="1" ht="35.1" customHeight="1">
      <c r="A190" s="63"/>
      <c r="B190" s="64"/>
      <c r="C190" s="64"/>
      <c r="D190" s="65"/>
      <c r="E190" s="65"/>
      <c r="F190" s="65"/>
      <c r="G190" s="65"/>
      <c r="H190" s="65"/>
      <c r="I190" s="65"/>
      <c r="J190" s="18"/>
      <c r="K190" s="65"/>
      <c r="L190" s="65"/>
      <c r="M190" s="44"/>
      <c r="N190" s="44"/>
      <c r="O190" s="44"/>
      <c r="P190" s="17"/>
      <c r="Q190" s="60" t="str">
        <f t="shared" si="24"/>
        <v/>
      </c>
      <c r="R190" s="60" t="str">
        <f t="shared" si="25"/>
        <v/>
      </c>
      <c r="S190" s="61" t="str">
        <f t="shared" si="26"/>
        <v>-</v>
      </c>
      <c r="T190" s="61"/>
      <c r="U190" s="61"/>
      <c r="V190" s="61"/>
      <c r="W190" s="61"/>
      <c r="X190" s="61"/>
      <c r="Y190" s="61"/>
    </row>
    <row r="191" spans="1:25" s="62" customFormat="1" ht="35.1" customHeight="1">
      <c r="A191" s="63"/>
      <c r="B191" s="64"/>
      <c r="C191" s="64"/>
      <c r="D191" s="65"/>
      <c r="E191" s="65"/>
      <c r="F191" s="65"/>
      <c r="G191" s="65"/>
      <c r="H191" s="65"/>
      <c r="I191" s="65"/>
      <c r="J191" s="18"/>
      <c r="K191" s="65"/>
      <c r="L191" s="65"/>
      <c r="M191" s="44"/>
      <c r="N191" s="44"/>
      <c r="O191" s="44"/>
      <c r="P191" s="17"/>
      <c r="Q191" s="60" t="str">
        <f t="shared" si="24"/>
        <v/>
      </c>
      <c r="R191" s="60" t="str">
        <f t="shared" si="25"/>
        <v/>
      </c>
      <c r="S191" s="61" t="str">
        <f t="shared" si="26"/>
        <v>-</v>
      </c>
      <c r="T191" s="61"/>
      <c r="U191" s="61"/>
      <c r="V191" s="61"/>
      <c r="W191" s="61"/>
      <c r="X191" s="61"/>
      <c r="Y191" s="61"/>
    </row>
    <row r="192" spans="1:25" s="62" customFormat="1" ht="35.1" customHeight="1">
      <c r="A192" s="63"/>
      <c r="B192" s="64"/>
      <c r="C192" s="64"/>
      <c r="D192" s="65"/>
      <c r="E192" s="65"/>
      <c r="F192" s="65"/>
      <c r="G192" s="65"/>
      <c r="H192" s="65"/>
      <c r="I192" s="65"/>
      <c r="J192" s="18"/>
      <c r="K192" s="65"/>
      <c r="L192" s="65"/>
      <c r="M192" s="44"/>
      <c r="N192" s="44"/>
      <c r="O192" s="44"/>
      <c r="P192" s="17"/>
      <c r="Q192" s="60" t="str">
        <f t="shared" si="24"/>
        <v/>
      </c>
      <c r="R192" s="60" t="str">
        <f t="shared" si="25"/>
        <v/>
      </c>
      <c r="S192" s="61" t="str">
        <f t="shared" si="26"/>
        <v>-</v>
      </c>
      <c r="T192" s="61"/>
      <c r="U192" s="61"/>
      <c r="V192" s="61"/>
      <c r="W192" s="61"/>
      <c r="X192" s="61"/>
      <c r="Y192" s="61"/>
    </row>
    <row r="193" spans="1:81" s="62" customFormat="1" ht="35.1" customHeight="1">
      <c r="A193" s="77"/>
      <c r="B193" s="78"/>
      <c r="C193" s="78"/>
      <c r="D193" s="79"/>
      <c r="E193" s="79"/>
      <c r="F193" s="79"/>
      <c r="G193" s="79"/>
      <c r="H193" s="79"/>
      <c r="I193" s="79"/>
      <c r="J193" s="42"/>
      <c r="K193" s="79"/>
      <c r="L193" s="79"/>
      <c r="M193" s="90"/>
      <c r="N193" s="90"/>
      <c r="O193" s="90"/>
      <c r="P193" s="91"/>
      <c r="Q193" s="60" t="str">
        <f t="shared" si="24"/>
        <v/>
      </c>
      <c r="R193" s="60" t="str">
        <f t="shared" si="25"/>
        <v/>
      </c>
      <c r="S193" s="61" t="str">
        <f t="shared" si="26"/>
        <v>-</v>
      </c>
      <c r="T193" s="61"/>
      <c r="U193" s="61"/>
      <c r="V193" s="61"/>
      <c r="W193" s="61"/>
      <c r="X193" s="61"/>
      <c r="Y193" s="61"/>
    </row>
    <row r="194" spans="1:81" s="73" customFormat="1" ht="35.1" customHeight="1">
      <c r="A194" s="66" t="s">
        <v>41</v>
      </c>
      <c r="B194" s="67"/>
      <c r="C194" s="67"/>
      <c r="D194" s="68"/>
      <c r="E194" s="68"/>
      <c r="F194" s="68"/>
      <c r="G194" s="69"/>
      <c r="H194" s="69">
        <f>SUM(H174:H193)</f>
        <v>0</v>
      </c>
      <c r="I194" s="69">
        <f>SUM(I174:I193)</f>
        <v>0</v>
      </c>
      <c r="J194" s="69">
        <f>SUM(J174:J193)</f>
        <v>0</v>
      </c>
      <c r="K194" s="70"/>
      <c r="L194" s="70"/>
      <c r="M194" s="70"/>
      <c r="N194" s="70"/>
      <c r="O194" s="70"/>
      <c r="P194" s="71"/>
      <c r="Q194" s="60" t="str">
        <f t="shared" si="24"/>
        <v/>
      </c>
      <c r="R194" s="60" t="str">
        <f t="shared" si="25"/>
        <v/>
      </c>
      <c r="S194" s="61"/>
      <c r="T194" s="61"/>
      <c r="U194" s="61"/>
      <c r="V194" s="61"/>
      <c r="W194" s="61"/>
      <c r="X194" s="61"/>
      <c r="Y194" s="61"/>
      <c r="Z194" s="72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  <c r="AM194" s="72"/>
      <c r="AN194" s="72"/>
      <c r="AO194" s="72"/>
      <c r="AP194" s="72"/>
      <c r="AQ194" s="72"/>
      <c r="AR194" s="72"/>
      <c r="AS194" s="72"/>
      <c r="AT194" s="72"/>
      <c r="AU194" s="72"/>
      <c r="AV194" s="72"/>
      <c r="AW194" s="72"/>
      <c r="AX194" s="72"/>
      <c r="AY194" s="72"/>
      <c r="AZ194" s="72"/>
      <c r="BA194" s="72"/>
      <c r="BB194" s="72"/>
      <c r="BC194" s="72"/>
      <c r="BD194" s="72"/>
      <c r="BE194" s="72"/>
      <c r="BF194" s="72"/>
      <c r="BG194" s="72"/>
      <c r="BH194" s="72"/>
      <c r="BI194" s="72"/>
      <c r="BJ194" s="72"/>
      <c r="BK194" s="72"/>
      <c r="BL194" s="72"/>
      <c r="BM194" s="72"/>
      <c r="BN194" s="72"/>
      <c r="BO194" s="72"/>
      <c r="BP194" s="72"/>
      <c r="BQ194" s="72"/>
      <c r="BR194" s="72"/>
      <c r="BS194" s="72"/>
      <c r="BT194" s="72"/>
      <c r="BU194" s="72"/>
      <c r="BV194" s="72"/>
      <c r="BW194" s="72"/>
      <c r="BX194" s="72"/>
      <c r="BY194" s="72"/>
      <c r="BZ194" s="72"/>
      <c r="CA194" s="72"/>
      <c r="CB194" s="72"/>
      <c r="CC194" s="72"/>
    </row>
    <row r="195" spans="1:81" s="62" customFormat="1" ht="35.1" customHeight="1">
      <c r="A195" s="87"/>
      <c r="B195" s="82"/>
      <c r="C195" s="82"/>
      <c r="D195" s="80"/>
      <c r="E195" s="80"/>
      <c r="F195" s="80"/>
      <c r="G195" s="59"/>
      <c r="H195" s="19"/>
      <c r="I195" s="59"/>
      <c r="J195" s="19">
        <f>I195-H195</f>
        <v>0</v>
      </c>
      <c r="K195" s="80"/>
      <c r="L195" s="80"/>
      <c r="M195" s="43"/>
      <c r="N195" s="43"/>
      <c r="O195" s="43"/>
      <c r="P195" s="16"/>
      <c r="Q195" s="60" t="str">
        <f>CONCATENATE(D195,K195)</f>
        <v/>
      </c>
      <c r="R195" s="60" t="str">
        <f>CONCATENATE(E195,K195)</f>
        <v/>
      </c>
      <c r="S195" s="61" t="str">
        <f>IF(G195&gt;=I195,"-","err")</f>
        <v>-</v>
      </c>
      <c r="T195" s="61"/>
      <c r="U195" s="61"/>
      <c r="V195" s="61"/>
      <c r="W195" s="61"/>
      <c r="X195" s="61"/>
      <c r="Y195" s="61"/>
    </row>
    <row r="196" spans="1:81" s="62" customFormat="1" ht="35.1" customHeight="1">
      <c r="A196" s="88"/>
      <c r="B196" s="83"/>
      <c r="C196" s="83"/>
      <c r="D196" s="65"/>
      <c r="E196" s="65"/>
      <c r="F196" s="65"/>
      <c r="G196" s="65"/>
      <c r="H196" s="18"/>
      <c r="I196" s="65"/>
      <c r="J196" s="18">
        <f>I196-H196</f>
        <v>0</v>
      </c>
      <c r="K196" s="65"/>
      <c r="L196" s="65"/>
      <c r="M196" s="44"/>
      <c r="N196" s="44">
        <v>0</v>
      </c>
      <c r="O196" s="44">
        <v>0</v>
      </c>
      <c r="P196" s="17"/>
      <c r="Q196" s="60" t="str">
        <f t="shared" ref="Q196:Q215" si="27">CONCATENATE(D196,K196)</f>
        <v/>
      </c>
      <c r="R196" s="60" t="str">
        <f t="shared" ref="R196:R215" si="28">CONCATENATE(E196,K196)</f>
        <v/>
      </c>
      <c r="S196" s="61" t="str">
        <f t="shared" ref="S196:S214" si="29">IF(G196&gt;=I196,"-","err")</f>
        <v>-</v>
      </c>
      <c r="T196" s="61"/>
      <c r="U196" s="61"/>
      <c r="V196" s="61"/>
      <c r="W196" s="61"/>
      <c r="X196" s="61"/>
      <c r="Y196" s="61"/>
    </row>
    <row r="197" spans="1:81" s="62" customFormat="1" ht="35.1" customHeight="1">
      <c r="A197" s="88"/>
      <c r="B197" s="86"/>
      <c r="C197" s="86"/>
      <c r="D197" s="65"/>
      <c r="E197" s="65"/>
      <c r="F197" s="65"/>
      <c r="G197" s="65"/>
      <c r="H197" s="18"/>
      <c r="I197" s="65"/>
      <c r="J197" s="18">
        <f>I197-H197</f>
        <v>0</v>
      </c>
      <c r="K197" s="65"/>
      <c r="L197" s="65"/>
      <c r="M197" s="44"/>
      <c r="N197" s="44">
        <v>0</v>
      </c>
      <c r="O197" s="44">
        <v>0</v>
      </c>
      <c r="P197" s="17"/>
      <c r="Q197" s="60" t="str">
        <f t="shared" si="27"/>
        <v/>
      </c>
      <c r="R197" s="60" t="str">
        <f t="shared" si="28"/>
        <v/>
      </c>
      <c r="S197" s="61" t="str">
        <f t="shared" si="29"/>
        <v>-</v>
      </c>
      <c r="T197" s="61"/>
      <c r="U197" s="61"/>
      <c r="V197" s="61"/>
      <c r="W197" s="61"/>
      <c r="X197" s="61"/>
      <c r="Y197" s="61"/>
    </row>
    <row r="198" spans="1:81" s="62" customFormat="1" ht="35.1" customHeight="1">
      <c r="A198" s="88"/>
      <c r="B198" s="86"/>
      <c r="C198" s="86"/>
      <c r="D198" s="65"/>
      <c r="E198" s="65"/>
      <c r="F198" s="65"/>
      <c r="G198" s="65"/>
      <c r="H198" s="18"/>
      <c r="I198" s="65"/>
      <c r="J198" s="18">
        <f>I198-H198</f>
        <v>0</v>
      </c>
      <c r="K198" s="65"/>
      <c r="L198" s="65"/>
      <c r="M198" s="44"/>
      <c r="N198" s="44">
        <v>0</v>
      </c>
      <c r="O198" s="44">
        <v>0</v>
      </c>
      <c r="P198" s="17"/>
      <c r="Q198" s="60" t="str">
        <f t="shared" si="27"/>
        <v/>
      </c>
      <c r="R198" s="60" t="str">
        <f t="shared" si="28"/>
        <v/>
      </c>
      <c r="S198" s="61" t="str">
        <f t="shared" si="29"/>
        <v>-</v>
      </c>
      <c r="T198" s="61"/>
      <c r="U198" s="61"/>
      <c r="V198" s="61"/>
      <c r="W198" s="61"/>
      <c r="X198" s="61"/>
      <c r="Y198" s="61"/>
    </row>
    <row r="199" spans="1:81" s="62" customFormat="1" ht="35.1" customHeight="1">
      <c r="A199" s="88"/>
      <c r="B199" s="86"/>
      <c r="C199" s="86"/>
      <c r="D199" s="65"/>
      <c r="E199" s="65"/>
      <c r="F199" s="65"/>
      <c r="G199" s="65"/>
      <c r="H199" s="18"/>
      <c r="I199" s="65"/>
      <c r="J199" s="18">
        <f>I199-H199</f>
        <v>0</v>
      </c>
      <c r="K199" s="65"/>
      <c r="L199" s="65"/>
      <c r="M199" s="44"/>
      <c r="N199" s="44">
        <v>0</v>
      </c>
      <c r="O199" s="44">
        <v>0</v>
      </c>
      <c r="P199" s="17"/>
      <c r="Q199" s="60" t="str">
        <f t="shared" si="27"/>
        <v/>
      </c>
      <c r="R199" s="60" t="str">
        <f t="shared" si="28"/>
        <v/>
      </c>
      <c r="S199" s="61" t="str">
        <f t="shared" si="29"/>
        <v>-</v>
      </c>
      <c r="T199" s="61"/>
      <c r="U199" s="61"/>
      <c r="V199" s="61"/>
      <c r="W199" s="61"/>
      <c r="X199" s="61"/>
      <c r="Y199" s="61"/>
    </row>
    <row r="200" spans="1:81" s="62" customFormat="1" ht="35.1" customHeight="1">
      <c r="A200" s="63"/>
      <c r="B200" s="83"/>
      <c r="C200" s="83"/>
      <c r="D200" s="65"/>
      <c r="E200" s="65"/>
      <c r="F200" s="65"/>
      <c r="G200" s="65"/>
      <c r="H200" s="76"/>
      <c r="I200" s="65"/>
      <c r="J200" s="18"/>
      <c r="K200" s="65"/>
      <c r="L200" s="65"/>
      <c r="M200" s="44"/>
      <c r="N200" s="44">
        <v>0</v>
      </c>
      <c r="O200" s="44">
        <v>0</v>
      </c>
      <c r="P200" s="17"/>
      <c r="Q200" s="60" t="str">
        <f t="shared" si="27"/>
        <v/>
      </c>
      <c r="R200" s="60" t="str">
        <f t="shared" si="28"/>
        <v/>
      </c>
      <c r="S200" s="61" t="str">
        <f t="shared" si="29"/>
        <v>-</v>
      </c>
      <c r="T200" s="61"/>
      <c r="U200" s="61"/>
      <c r="V200" s="61"/>
      <c r="W200" s="61"/>
      <c r="X200" s="61"/>
      <c r="Y200" s="61"/>
    </row>
    <row r="201" spans="1:81" s="62" customFormat="1" ht="35.1" customHeight="1">
      <c r="A201" s="63"/>
      <c r="B201" s="83"/>
      <c r="C201" s="83"/>
      <c r="D201" s="81"/>
      <c r="E201" s="81"/>
      <c r="F201" s="81"/>
      <c r="G201" s="65"/>
      <c r="H201" s="85"/>
      <c r="I201" s="65"/>
      <c r="J201" s="18"/>
      <c r="K201" s="81"/>
      <c r="L201" s="81"/>
      <c r="M201" s="44"/>
      <c r="N201" s="44"/>
      <c r="O201" s="44"/>
      <c r="P201" s="17"/>
      <c r="Q201" s="60" t="str">
        <f t="shared" si="27"/>
        <v/>
      </c>
      <c r="R201" s="60" t="str">
        <f t="shared" si="28"/>
        <v/>
      </c>
      <c r="S201" s="61" t="str">
        <f t="shared" si="29"/>
        <v>-</v>
      </c>
      <c r="T201" s="61"/>
      <c r="U201" s="61"/>
      <c r="V201" s="61"/>
      <c r="W201" s="61"/>
      <c r="X201" s="61"/>
      <c r="Y201" s="61"/>
    </row>
    <row r="202" spans="1:81" s="62" customFormat="1" ht="35.1" customHeight="1">
      <c r="A202" s="63"/>
      <c r="B202" s="83"/>
      <c r="C202" s="83"/>
      <c r="D202" s="81"/>
      <c r="E202" s="81"/>
      <c r="F202" s="81"/>
      <c r="G202" s="65"/>
      <c r="H202" s="85"/>
      <c r="I202" s="65"/>
      <c r="J202" s="18"/>
      <c r="K202" s="81"/>
      <c r="L202" s="81"/>
      <c r="M202" s="44"/>
      <c r="N202" s="44">
        <v>0</v>
      </c>
      <c r="O202" s="44">
        <v>0</v>
      </c>
      <c r="P202" s="17"/>
      <c r="Q202" s="60" t="str">
        <f t="shared" si="27"/>
        <v/>
      </c>
      <c r="R202" s="60" t="str">
        <f t="shared" si="28"/>
        <v/>
      </c>
      <c r="S202" s="61" t="str">
        <f t="shared" si="29"/>
        <v>-</v>
      </c>
      <c r="T202" s="61"/>
      <c r="U202" s="61"/>
      <c r="V202" s="61"/>
      <c r="W202" s="61"/>
      <c r="X202" s="61"/>
      <c r="Y202" s="61"/>
    </row>
    <row r="203" spans="1:81" s="62" customFormat="1" ht="35.1" customHeight="1">
      <c r="A203" s="63"/>
      <c r="B203" s="83"/>
      <c r="C203" s="83"/>
      <c r="D203" s="81"/>
      <c r="E203" s="81"/>
      <c r="F203" s="81"/>
      <c r="G203" s="65"/>
      <c r="H203" s="85"/>
      <c r="I203" s="65"/>
      <c r="J203" s="18"/>
      <c r="K203" s="81"/>
      <c r="L203" s="81"/>
      <c r="M203" s="44">
        <v>0</v>
      </c>
      <c r="N203" s="44">
        <v>0</v>
      </c>
      <c r="O203" s="44">
        <v>0</v>
      </c>
      <c r="P203" s="17"/>
      <c r="Q203" s="60" t="str">
        <f t="shared" si="27"/>
        <v/>
      </c>
      <c r="R203" s="60" t="str">
        <f t="shared" si="28"/>
        <v/>
      </c>
      <c r="S203" s="61" t="str">
        <f t="shared" si="29"/>
        <v>-</v>
      </c>
      <c r="T203" s="61"/>
      <c r="U203" s="61"/>
      <c r="V203" s="61"/>
      <c r="W203" s="61"/>
      <c r="X203" s="61"/>
      <c r="Y203" s="61"/>
    </row>
    <row r="204" spans="1:81" s="62" customFormat="1" ht="35.1" customHeight="1">
      <c r="A204" s="63"/>
      <c r="B204" s="83"/>
      <c r="C204" s="83"/>
      <c r="D204" s="81"/>
      <c r="E204" s="81"/>
      <c r="F204" s="81"/>
      <c r="G204" s="65"/>
      <c r="H204" s="85"/>
      <c r="I204" s="65"/>
      <c r="J204" s="18"/>
      <c r="K204" s="81"/>
      <c r="L204" s="81"/>
      <c r="M204" s="44">
        <v>0</v>
      </c>
      <c r="N204" s="44">
        <v>0</v>
      </c>
      <c r="O204" s="44">
        <v>0</v>
      </c>
      <c r="P204" s="17"/>
      <c r="Q204" s="60" t="str">
        <f t="shared" si="27"/>
        <v/>
      </c>
      <c r="R204" s="60" t="str">
        <f t="shared" si="28"/>
        <v/>
      </c>
      <c r="S204" s="61" t="str">
        <f t="shared" si="29"/>
        <v>-</v>
      </c>
      <c r="T204" s="61"/>
      <c r="U204" s="61"/>
      <c r="V204" s="61"/>
      <c r="W204" s="61"/>
      <c r="X204" s="61"/>
      <c r="Y204" s="61"/>
    </row>
    <row r="205" spans="1:81" s="62" customFormat="1" ht="35.1" customHeight="1">
      <c r="A205" s="63"/>
      <c r="B205" s="83"/>
      <c r="C205" s="83"/>
      <c r="D205" s="81"/>
      <c r="E205" s="81"/>
      <c r="F205" s="81"/>
      <c r="G205" s="65"/>
      <c r="H205" s="85"/>
      <c r="I205" s="65"/>
      <c r="J205" s="18"/>
      <c r="K205" s="81"/>
      <c r="L205" s="81"/>
      <c r="M205" s="44">
        <v>0</v>
      </c>
      <c r="N205" s="44">
        <v>0</v>
      </c>
      <c r="O205" s="44">
        <v>0</v>
      </c>
      <c r="P205" s="17"/>
      <c r="Q205" s="60" t="str">
        <f t="shared" si="27"/>
        <v/>
      </c>
      <c r="R205" s="60" t="str">
        <f t="shared" si="28"/>
        <v/>
      </c>
      <c r="S205" s="61" t="str">
        <f t="shared" si="29"/>
        <v>-</v>
      </c>
      <c r="T205" s="61"/>
      <c r="U205" s="61"/>
      <c r="V205" s="61"/>
      <c r="W205" s="61"/>
      <c r="X205" s="61"/>
      <c r="Y205" s="61"/>
    </row>
    <row r="206" spans="1:81" s="62" customFormat="1" ht="35.1" customHeight="1">
      <c r="A206" s="63"/>
      <c r="B206" s="64"/>
      <c r="C206" s="64"/>
      <c r="D206" s="65"/>
      <c r="E206" s="65"/>
      <c r="F206" s="65"/>
      <c r="G206" s="65"/>
      <c r="H206" s="65"/>
      <c r="I206" s="65"/>
      <c r="J206" s="18"/>
      <c r="K206" s="65"/>
      <c r="L206" s="65"/>
      <c r="M206" s="44"/>
      <c r="N206" s="44"/>
      <c r="O206" s="44"/>
      <c r="P206" s="17"/>
      <c r="Q206" s="60" t="str">
        <f t="shared" si="27"/>
        <v/>
      </c>
      <c r="R206" s="60" t="str">
        <f t="shared" si="28"/>
        <v/>
      </c>
      <c r="S206" s="61" t="str">
        <f t="shared" si="29"/>
        <v>-</v>
      </c>
      <c r="T206" s="61"/>
      <c r="U206" s="61"/>
      <c r="V206" s="61"/>
      <c r="W206" s="61"/>
      <c r="X206" s="61"/>
      <c r="Y206" s="61"/>
    </row>
    <row r="207" spans="1:81" s="62" customFormat="1" ht="35.1" customHeight="1">
      <c r="A207" s="63"/>
      <c r="B207" s="64"/>
      <c r="C207" s="64"/>
      <c r="D207" s="65"/>
      <c r="E207" s="65"/>
      <c r="F207" s="65"/>
      <c r="G207" s="65"/>
      <c r="H207" s="65"/>
      <c r="I207" s="65"/>
      <c r="J207" s="18"/>
      <c r="K207" s="65"/>
      <c r="L207" s="65"/>
      <c r="M207" s="44"/>
      <c r="N207" s="44"/>
      <c r="O207" s="44"/>
      <c r="P207" s="17"/>
      <c r="Q207" s="60" t="str">
        <f t="shared" si="27"/>
        <v/>
      </c>
      <c r="R207" s="60" t="str">
        <f t="shared" si="28"/>
        <v/>
      </c>
      <c r="S207" s="61" t="str">
        <f t="shared" si="29"/>
        <v>-</v>
      </c>
      <c r="T207" s="61"/>
      <c r="U207" s="61"/>
      <c r="V207" s="61"/>
      <c r="W207" s="61"/>
      <c r="X207" s="61"/>
      <c r="Y207" s="61"/>
    </row>
    <row r="208" spans="1:81" s="62" customFormat="1" ht="35.1" customHeight="1">
      <c r="A208" s="63"/>
      <c r="B208" s="64"/>
      <c r="C208" s="64"/>
      <c r="D208" s="65"/>
      <c r="E208" s="65"/>
      <c r="F208" s="65"/>
      <c r="G208" s="65"/>
      <c r="H208" s="65"/>
      <c r="I208" s="65"/>
      <c r="J208" s="18"/>
      <c r="K208" s="65"/>
      <c r="L208" s="65"/>
      <c r="M208" s="44"/>
      <c r="N208" s="44"/>
      <c r="O208" s="44"/>
      <c r="P208" s="17"/>
      <c r="Q208" s="60" t="str">
        <f t="shared" si="27"/>
        <v/>
      </c>
      <c r="R208" s="60" t="str">
        <f t="shared" si="28"/>
        <v/>
      </c>
      <c r="S208" s="61" t="str">
        <f t="shared" si="29"/>
        <v>-</v>
      </c>
      <c r="T208" s="61"/>
      <c r="U208" s="61"/>
      <c r="V208" s="61"/>
      <c r="W208" s="61"/>
      <c r="X208" s="61"/>
      <c r="Y208" s="61"/>
    </row>
    <row r="209" spans="1:81" s="62" customFormat="1" ht="35.1" customHeight="1">
      <c r="A209" s="63"/>
      <c r="B209" s="64"/>
      <c r="C209" s="64"/>
      <c r="D209" s="65"/>
      <c r="E209" s="65"/>
      <c r="F209" s="65"/>
      <c r="G209" s="65"/>
      <c r="H209" s="65"/>
      <c r="I209" s="65"/>
      <c r="J209" s="18"/>
      <c r="K209" s="65"/>
      <c r="L209" s="65"/>
      <c r="M209" s="44"/>
      <c r="N209" s="44"/>
      <c r="O209" s="44"/>
      <c r="P209" s="17"/>
      <c r="Q209" s="60" t="str">
        <f t="shared" si="27"/>
        <v/>
      </c>
      <c r="R209" s="60" t="str">
        <f t="shared" si="28"/>
        <v/>
      </c>
      <c r="S209" s="61" t="str">
        <f t="shared" si="29"/>
        <v>-</v>
      </c>
      <c r="T209" s="61"/>
      <c r="U209" s="61"/>
      <c r="V209" s="61"/>
      <c r="W209" s="61"/>
      <c r="X209" s="61"/>
      <c r="Y209" s="61"/>
    </row>
    <row r="210" spans="1:81" s="62" customFormat="1" ht="35.1" customHeight="1">
      <c r="A210" s="63"/>
      <c r="B210" s="64"/>
      <c r="C210" s="64"/>
      <c r="D210" s="65"/>
      <c r="E210" s="65"/>
      <c r="F210" s="65"/>
      <c r="G210" s="65"/>
      <c r="H210" s="65"/>
      <c r="I210" s="65"/>
      <c r="J210" s="18"/>
      <c r="K210" s="65"/>
      <c r="L210" s="65"/>
      <c r="M210" s="44"/>
      <c r="N210" s="44"/>
      <c r="O210" s="44"/>
      <c r="P210" s="17"/>
      <c r="Q210" s="60" t="str">
        <f t="shared" si="27"/>
        <v/>
      </c>
      <c r="R210" s="60" t="str">
        <f t="shared" si="28"/>
        <v/>
      </c>
      <c r="S210" s="61" t="str">
        <f t="shared" si="29"/>
        <v>-</v>
      </c>
      <c r="T210" s="61"/>
      <c r="U210" s="61"/>
      <c r="V210" s="61"/>
      <c r="W210" s="61"/>
      <c r="X210" s="61"/>
      <c r="Y210" s="61"/>
    </row>
    <row r="211" spans="1:81" s="62" customFormat="1" ht="35.1" customHeight="1">
      <c r="A211" s="63"/>
      <c r="B211" s="64"/>
      <c r="C211" s="64"/>
      <c r="D211" s="65"/>
      <c r="E211" s="65"/>
      <c r="F211" s="65"/>
      <c r="G211" s="65"/>
      <c r="H211" s="65"/>
      <c r="I211" s="65"/>
      <c r="J211" s="18"/>
      <c r="K211" s="65"/>
      <c r="L211" s="65"/>
      <c r="M211" s="44"/>
      <c r="N211" s="44"/>
      <c r="O211" s="44"/>
      <c r="P211" s="17"/>
      <c r="Q211" s="60" t="str">
        <f t="shared" si="27"/>
        <v/>
      </c>
      <c r="R211" s="60" t="str">
        <f t="shared" si="28"/>
        <v/>
      </c>
      <c r="S211" s="61" t="str">
        <f t="shared" si="29"/>
        <v>-</v>
      </c>
      <c r="T211" s="61"/>
      <c r="U211" s="61"/>
      <c r="V211" s="61"/>
      <c r="W211" s="61"/>
      <c r="X211" s="61"/>
      <c r="Y211" s="61"/>
    </row>
    <row r="212" spans="1:81" s="62" customFormat="1" ht="35.1" customHeight="1">
      <c r="A212" s="63"/>
      <c r="B212" s="64"/>
      <c r="C212" s="64"/>
      <c r="D212" s="65"/>
      <c r="E212" s="65"/>
      <c r="F212" s="65"/>
      <c r="G212" s="65"/>
      <c r="H212" s="65"/>
      <c r="I212" s="65"/>
      <c r="J212" s="18"/>
      <c r="K212" s="65"/>
      <c r="L212" s="65"/>
      <c r="M212" s="44"/>
      <c r="N212" s="44"/>
      <c r="O212" s="44"/>
      <c r="P212" s="17"/>
      <c r="Q212" s="60" t="str">
        <f t="shared" si="27"/>
        <v/>
      </c>
      <c r="R212" s="60" t="str">
        <f t="shared" si="28"/>
        <v/>
      </c>
      <c r="S212" s="61" t="str">
        <f t="shared" si="29"/>
        <v>-</v>
      </c>
      <c r="T212" s="61"/>
      <c r="U212" s="61"/>
      <c r="V212" s="61"/>
      <c r="W212" s="61"/>
      <c r="X212" s="61"/>
      <c r="Y212" s="61"/>
    </row>
    <row r="213" spans="1:81" s="62" customFormat="1" ht="35.1" customHeight="1">
      <c r="A213" s="63"/>
      <c r="B213" s="64"/>
      <c r="C213" s="64"/>
      <c r="D213" s="65"/>
      <c r="E213" s="65"/>
      <c r="F213" s="65"/>
      <c r="G213" s="65"/>
      <c r="H213" s="65"/>
      <c r="I213" s="65"/>
      <c r="J213" s="18"/>
      <c r="K213" s="65"/>
      <c r="L213" s="65"/>
      <c r="M213" s="44"/>
      <c r="N213" s="44"/>
      <c r="O213" s="44"/>
      <c r="P213" s="17"/>
      <c r="Q213" s="60" t="str">
        <f t="shared" si="27"/>
        <v/>
      </c>
      <c r="R213" s="60" t="str">
        <f t="shared" si="28"/>
        <v/>
      </c>
      <c r="S213" s="61" t="str">
        <f t="shared" si="29"/>
        <v>-</v>
      </c>
      <c r="T213" s="61"/>
      <c r="U213" s="61"/>
      <c r="V213" s="61"/>
      <c r="W213" s="61"/>
      <c r="X213" s="61"/>
      <c r="Y213" s="61"/>
    </row>
    <row r="214" spans="1:81" s="62" customFormat="1" ht="35.1" customHeight="1">
      <c r="A214" s="77"/>
      <c r="B214" s="78"/>
      <c r="C214" s="78"/>
      <c r="D214" s="79"/>
      <c r="E214" s="79"/>
      <c r="F214" s="79"/>
      <c r="G214" s="79"/>
      <c r="H214" s="79"/>
      <c r="I214" s="79"/>
      <c r="J214" s="42"/>
      <c r="K214" s="79"/>
      <c r="L214" s="79"/>
      <c r="M214" s="90"/>
      <c r="N214" s="90"/>
      <c r="O214" s="90"/>
      <c r="P214" s="91"/>
      <c r="Q214" s="60" t="str">
        <f t="shared" si="27"/>
        <v/>
      </c>
      <c r="R214" s="60" t="str">
        <f t="shared" si="28"/>
        <v/>
      </c>
      <c r="S214" s="61" t="str">
        <f t="shared" si="29"/>
        <v>-</v>
      </c>
      <c r="T214" s="61"/>
      <c r="U214" s="61"/>
      <c r="V214" s="61"/>
      <c r="W214" s="61"/>
      <c r="X214" s="61"/>
      <c r="Y214" s="61"/>
    </row>
    <row r="215" spans="1:81" s="73" customFormat="1" ht="35.1" customHeight="1">
      <c r="A215" s="66" t="s">
        <v>41</v>
      </c>
      <c r="B215" s="67"/>
      <c r="C215" s="67"/>
      <c r="D215" s="68"/>
      <c r="E215" s="68"/>
      <c r="F215" s="68"/>
      <c r="G215" s="69"/>
      <c r="H215" s="69">
        <f>SUM(H195:H214)</f>
        <v>0</v>
      </c>
      <c r="I215" s="69">
        <f>SUM(I195:I214)</f>
        <v>0</v>
      </c>
      <c r="J215" s="69">
        <f>SUM(J195:J214)</f>
        <v>0</v>
      </c>
      <c r="K215" s="70"/>
      <c r="L215" s="70"/>
      <c r="M215" s="70"/>
      <c r="N215" s="70"/>
      <c r="O215" s="70"/>
      <c r="P215" s="71"/>
      <c r="Q215" s="60" t="str">
        <f t="shared" si="27"/>
        <v/>
      </c>
      <c r="R215" s="60" t="str">
        <f t="shared" si="28"/>
        <v/>
      </c>
      <c r="S215" s="61"/>
      <c r="T215" s="61"/>
      <c r="U215" s="61"/>
      <c r="V215" s="61"/>
      <c r="W215" s="61"/>
      <c r="X215" s="61"/>
      <c r="Y215" s="61"/>
      <c r="Z215" s="72"/>
      <c r="AA215" s="72"/>
      <c r="AB215" s="72"/>
      <c r="AC215" s="72"/>
      <c r="AD215" s="72"/>
      <c r="AE215" s="72"/>
      <c r="AF215" s="72"/>
      <c r="AG215" s="72"/>
      <c r="AH215" s="72"/>
      <c r="AI215" s="72"/>
      <c r="AJ215" s="72"/>
      <c r="AK215" s="72"/>
      <c r="AL215" s="72"/>
      <c r="AM215" s="72"/>
      <c r="AN215" s="72"/>
      <c r="AO215" s="72"/>
      <c r="AP215" s="72"/>
      <c r="AQ215" s="72"/>
      <c r="AR215" s="72"/>
      <c r="AS215" s="72"/>
      <c r="AT215" s="72"/>
      <c r="AU215" s="72"/>
      <c r="AV215" s="72"/>
      <c r="AW215" s="72"/>
      <c r="AX215" s="72"/>
      <c r="AY215" s="72"/>
      <c r="AZ215" s="72"/>
      <c r="BA215" s="72"/>
      <c r="BB215" s="72"/>
      <c r="BC215" s="72"/>
      <c r="BD215" s="72"/>
      <c r="BE215" s="72"/>
      <c r="BF215" s="72"/>
      <c r="BG215" s="72"/>
      <c r="BH215" s="72"/>
      <c r="BI215" s="72"/>
      <c r="BJ215" s="72"/>
      <c r="BK215" s="72"/>
      <c r="BL215" s="72"/>
      <c r="BM215" s="72"/>
      <c r="BN215" s="72"/>
      <c r="BO215" s="72"/>
      <c r="BP215" s="72"/>
      <c r="BQ215" s="72"/>
      <c r="BR215" s="72"/>
      <c r="BS215" s="72"/>
      <c r="BT215" s="72"/>
      <c r="BU215" s="72"/>
      <c r="BV215" s="72"/>
      <c r="BW215" s="72"/>
      <c r="BX215" s="72"/>
      <c r="BY215" s="72"/>
      <c r="BZ215" s="72"/>
      <c r="CA215" s="72"/>
      <c r="CB215" s="72"/>
      <c r="CC215" s="72"/>
    </row>
    <row r="216" spans="1:81" s="62" customFormat="1" ht="35.1" customHeight="1">
      <c r="A216" s="87"/>
      <c r="B216" s="82"/>
      <c r="C216" s="82"/>
      <c r="D216" s="80"/>
      <c r="E216" s="80"/>
      <c r="F216" s="80"/>
      <c r="G216" s="59"/>
      <c r="H216" s="19"/>
      <c r="I216" s="59"/>
      <c r="J216" s="19">
        <f>I216-H216</f>
        <v>0</v>
      </c>
      <c r="K216" s="80"/>
      <c r="L216" s="80"/>
      <c r="M216" s="43"/>
      <c r="N216" s="43"/>
      <c r="O216" s="43"/>
      <c r="P216" s="16"/>
      <c r="Q216" s="60" t="str">
        <f>CONCATENATE(D216,K216)</f>
        <v/>
      </c>
      <c r="R216" s="60" t="str">
        <f>CONCATENATE(E216,K216)</f>
        <v/>
      </c>
      <c r="S216" s="61" t="str">
        <f>IF(G216&gt;=I216,"-","err")</f>
        <v>-</v>
      </c>
      <c r="T216" s="61"/>
      <c r="U216" s="61"/>
      <c r="V216" s="61"/>
      <c r="W216" s="61"/>
      <c r="X216" s="61"/>
      <c r="Y216" s="61"/>
    </row>
    <row r="217" spans="1:81" s="62" customFormat="1" ht="35.1" customHeight="1">
      <c r="A217" s="88"/>
      <c r="B217" s="83"/>
      <c r="C217" s="83"/>
      <c r="D217" s="65"/>
      <c r="E217" s="65"/>
      <c r="F217" s="65"/>
      <c r="G217" s="65"/>
      <c r="H217" s="18"/>
      <c r="I217" s="65"/>
      <c r="J217" s="18">
        <f>I217-H217</f>
        <v>0</v>
      </c>
      <c r="K217" s="65"/>
      <c r="L217" s="65"/>
      <c r="M217" s="44"/>
      <c r="N217" s="44">
        <v>0</v>
      </c>
      <c r="O217" s="44">
        <v>0</v>
      </c>
      <c r="P217" s="17"/>
      <c r="Q217" s="60" t="str">
        <f t="shared" ref="Q217:Q236" si="30">CONCATENATE(D217,K217)</f>
        <v/>
      </c>
      <c r="R217" s="60" t="str">
        <f t="shared" ref="R217:R236" si="31">CONCATENATE(E217,K217)</f>
        <v/>
      </c>
      <c r="S217" s="61" t="str">
        <f t="shared" ref="S217:S235" si="32">IF(G217&gt;=I217,"-","err")</f>
        <v>-</v>
      </c>
      <c r="T217" s="61"/>
      <c r="U217" s="61"/>
      <c r="V217" s="61"/>
      <c r="W217" s="61"/>
      <c r="X217" s="61"/>
      <c r="Y217" s="61"/>
    </row>
    <row r="218" spans="1:81" s="62" customFormat="1" ht="35.1" customHeight="1">
      <c r="A218" s="88"/>
      <c r="B218" s="86"/>
      <c r="C218" s="86"/>
      <c r="D218" s="65"/>
      <c r="E218" s="65"/>
      <c r="F218" s="65"/>
      <c r="G218" s="65"/>
      <c r="H218" s="18"/>
      <c r="I218" s="65"/>
      <c r="J218" s="18">
        <f>I218-H218</f>
        <v>0</v>
      </c>
      <c r="K218" s="65"/>
      <c r="L218" s="65"/>
      <c r="M218" s="44"/>
      <c r="N218" s="44">
        <v>0</v>
      </c>
      <c r="O218" s="44">
        <v>0</v>
      </c>
      <c r="P218" s="17"/>
      <c r="Q218" s="60" t="str">
        <f t="shared" si="30"/>
        <v/>
      </c>
      <c r="R218" s="60" t="str">
        <f t="shared" si="31"/>
        <v/>
      </c>
      <c r="S218" s="61" t="str">
        <f t="shared" si="32"/>
        <v>-</v>
      </c>
      <c r="T218" s="61"/>
      <c r="U218" s="61"/>
      <c r="V218" s="61"/>
      <c r="W218" s="61"/>
      <c r="X218" s="61"/>
      <c r="Y218" s="61"/>
    </row>
    <row r="219" spans="1:81" s="62" customFormat="1" ht="35.1" customHeight="1">
      <c r="A219" s="88"/>
      <c r="B219" s="86"/>
      <c r="C219" s="86"/>
      <c r="D219" s="65"/>
      <c r="E219" s="65"/>
      <c r="F219" s="65"/>
      <c r="G219" s="65"/>
      <c r="H219" s="18"/>
      <c r="I219" s="65"/>
      <c r="J219" s="18">
        <f>I219-H219</f>
        <v>0</v>
      </c>
      <c r="K219" s="65"/>
      <c r="L219" s="65"/>
      <c r="M219" s="44"/>
      <c r="N219" s="44">
        <v>0</v>
      </c>
      <c r="O219" s="44">
        <v>0</v>
      </c>
      <c r="P219" s="17"/>
      <c r="Q219" s="60" t="str">
        <f t="shared" si="30"/>
        <v/>
      </c>
      <c r="R219" s="60" t="str">
        <f t="shared" si="31"/>
        <v/>
      </c>
      <c r="S219" s="61" t="str">
        <f t="shared" si="32"/>
        <v>-</v>
      </c>
      <c r="T219" s="61"/>
      <c r="U219" s="61"/>
      <c r="V219" s="61"/>
      <c r="W219" s="61"/>
      <c r="X219" s="61"/>
      <c r="Y219" s="61"/>
    </row>
    <row r="220" spans="1:81" s="62" customFormat="1" ht="35.1" customHeight="1">
      <c r="A220" s="88"/>
      <c r="B220" s="86"/>
      <c r="C220" s="86"/>
      <c r="D220" s="65"/>
      <c r="E220" s="65"/>
      <c r="F220" s="65"/>
      <c r="G220" s="65"/>
      <c r="H220" s="18"/>
      <c r="I220" s="65"/>
      <c r="J220" s="18">
        <f>I220-H220</f>
        <v>0</v>
      </c>
      <c r="K220" s="65"/>
      <c r="L220" s="65"/>
      <c r="M220" s="44"/>
      <c r="N220" s="44">
        <v>0</v>
      </c>
      <c r="O220" s="44">
        <v>0</v>
      </c>
      <c r="P220" s="17"/>
      <c r="Q220" s="60" t="str">
        <f t="shared" si="30"/>
        <v/>
      </c>
      <c r="R220" s="60" t="str">
        <f t="shared" si="31"/>
        <v/>
      </c>
      <c r="S220" s="61" t="str">
        <f t="shared" si="32"/>
        <v>-</v>
      </c>
      <c r="T220" s="61"/>
      <c r="U220" s="61"/>
      <c r="V220" s="61"/>
      <c r="W220" s="61"/>
      <c r="X220" s="61"/>
      <c r="Y220" s="61"/>
    </row>
    <row r="221" spans="1:81" s="62" customFormat="1" ht="35.1" customHeight="1">
      <c r="A221" s="63"/>
      <c r="B221" s="83"/>
      <c r="C221" s="83"/>
      <c r="D221" s="65"/>
      <c r="E221" s="65"/>
      <c r="F221" s="65"/>
      <c r="G221" s="65"/>
      <c r="H221" s="76"/>
      <c r="I221" s="65"/>
      <c r="J221" s="18"/>
      <c r="K221" s="65"/>
      <c r="L221" s="65"/>
      <c r="M221" s="44"/>
      <c r="N221" s="44">
        <v>0</v>
      </c>
      <c r="O221" s="44">
        <v>0</v>
      </c>
      <c r="P221" s="17"/>
      <c r="Q221" s="60" t="str">
        <f t="shared" si="30"/>
        <v/>
      </c>
      <c r="R221" s="60" t="str">
        <f t="shared" si="31"/>
        <v/>
      </c>
      <c r="S221" s="61" t="str">
        <f t="shared" si="32"/>
        <v>-</v>
      </c>
      <c r="T221" s="61"/>
      <c r="U221" s="61"/>
      <c r="V221" s="61"/>
      <c r="W221" s="61"/>
      <c r="X221" s="61"/>
      <c r="Y221" s="61"/>
    </row>
    <row r="222" spans="1:81" s="62" customFormat="1" ht="35.1" customHeight="1">
      <c r="A222" s="63"/>
      <c r="B222" s="83"/>
      <c r="C222" s="83"/>
      <c r="D222" s="81"/>
      <c r="E222" s="81"/>
      <c r="F222" s="81"/>
      <c r="G222" s="65"/>
      <c r="H222" s="85"/>
      <c r="I222" s="65"/>
      <c r="J222" s="18"/>
      <c r="K222" s="81"/>
      <c r="L222" s="81"/>
      <c r="M222" s="44"/>
      <c r="N222" s="44"/>
      <c r="O222" s="44"/>
      <c r="P222" s="17"/>
      <c r="Q222" s="60" t="str">
        <f t="shared" si="30"/>
        <v/>
      </c>
      <c r="R222" s="60" t="str">
        <f t="shared" si="31"/>
        <v/>
      </c>
      <c r="S222" s="61" t="str">
        <f t="shared" si="32"/>
        <v>-</v>
      </c>
      <c r="T222" s="61"/>
      <c r="U222" s="61"/>
      <c r="V222" s="61"/>
      <c r="W222" s="61"/>
      <c r="X222" s="61"/>
      <c r="Y222" s="61"/>
    </row>
    <row r="223" spans="1:81" s="62" customFormat="1" ht="35.1" customHeight="1">
      <c r="A223" s="63"/>
      <c r="B223" s="83"/>
      <c r="C223" s="83"/>
      <c r="D223" s="81"/>
      <c r="E223" s="81"/>
      <c r="F223" s="81"/>
      <c r="G223" s="65"/>
      <c r="H223" s="85"/>
      <c r="I223" s="65"/>
      <c r="J223" s="18"/>
      <c r="K223" s="81"/>
      <c r="L223" s="81"/>
      <c r="M223" s="44"/>
      <c r="N223" s="44">
        <v>0</v>
      </c>
      <c r="O223" s="44">
        <v>0</v>
      </c>
      <c r="P223" s="17"/>
      <c r="Q223" s="60" t="str">
        <f t="shared" si="30"/>
        <v/>
      </c>
      <c r="R223" s="60" t="str">
        <f t="shared" si="31"/>
        <v/>
      </c>
      <c r="S223" s="61" t="str">
        <f t="shared" si="32"/>
        <v>-</v>
      </c>
      <c r="T223" s="61"/>
      <c r="U223" s="61"/>
      <c r="V223" s="61"/>
      <c r="W223" s="61"/>
      <c r="X223" s="61"/>
      <c r="Y223" s="61"/>
    </row>
    <row r="224" spans="1:81" s="62" customFormat="1" ht="35.1" customHeight="1">
      <c r="A224" s="63"/>
      <c r="B224" s="83"/>
      <c r="C224" s="83"/>
      <c r="D224" s="81"/>
      <c r="E224" s="81"/>
      <c r="F224" s="81"/>
      <c r="G224" s="65"/>
      <c r="H224" s="85"/>
      <c r="I224" s="65"/>
      <c r="J224" s="18"/>
      <c r="K224" s="81"/>
      <c r="L224" s="81"/>
      <c r="M224" s="44">
        <v>0</v>
      </c>
      <c r="N224" s="44">
        <v>0</v>
      </c>
      <c r="O224" s="44">
        <v>0</v>
      </c>
      <c r="P224" s="17"/>
      <c r="Q224" s="60" t="str">
        <f t="shared" si="30"/>
        <v/>
      </c>
      <c r="R224" s="60" t="str">
        <f t="shared" si="31"/>
        <v/>
      </c>
      <c r="S224" s="61" t="str">
        <f t="shared" si="32"/>
        <v>-</v>
      </c>
      <c r="T224" s="61"/>
      <c r="U224" s="61"/>
      <c r="V224" s="61"/>
      <c r="W224" s="61"/>
      <c r="X224" s="61"/>
      <c r="Y224" s="61"/>
    </row>
    <row r="225" spans="1:81" s="62" customFormat="1" ht="35.1" customHeight="1">
      <c r="A225" s="63"/>
      <c r="B225" s="83"/>
      <c r="C225" s="83"/>
      <c r="D225" s="81"/>
      <c r="E225" s="81"/>
      <c r="F225" s="81"/>
      <c r="G225" s="65"/>
      <c r="H225" s="85"/>
      <c r="I225" s="65"/>
      <c r="J225" s="18"/>
      <c r="K225" s="81"/>
      <c r="L225" s="81"/>
      <c r="M225" s="44">
        <v>0</v>
      </c>
      <c r="N225" s="44">
        <v>0</v>
      </c>
      <c r="O225" s="44">
        <v>0</v>
      </c>
      <c r="P225" s="17"/>
      <c r="Q225" s="60" t="str">
        <f t="shared" si="30"/>
        <v/>
      </c>
      <c r="R225" s="60" t="str">
        <f t="shared" si="31"/>
        <v/>
      </c>
      <c r="S225" s="61" t="str">
        <f t="shared" si="32"/>
        <v>-</v>
      </c>
      <c r="T225" s="61"/>
      <c r="U225" s="61"/>
      <c r="V225" s="61"/>
      <c r="W225" s="61"/>
      <c r="X225" s="61"/>
      <c r="Y225" s="61"/>
    </row>
    <row r="226" spans="1:81" s="62" customFormat="1" ht="35.1" customHeight="1">
      <c r="A226" s="63"/>
      <c r="B226" s="83"/>
      <c r="C226" s="83"/>
      <c r="D226" s="81"/>
      <c r="E226" s="81"/>
      <c r="F226" s="81"/>
      <c r="G226" s="65"/>
      <c r="H226" s="85"/>
      <c r="I226" s="65"/>
      <c r="J226" s="18"/>
      <c r="K226" s="81"/>
      <c r="L226" s="81"/>
      <c r="M226" s="44">
        <v>0</v>
      </c>
      <c r="N226" s="44">
        <v>0</v>
      </c>
      <c r="O226" s="44">
        <v>0</v>
      </c>
      <c r="P226" s="17"/>
      <c r="Q226" s="60" t="str">
        <f t="shared" si="30"/>
        <v/>
      </c>
      <c r="R226" s="60" t="str">
        <f t="shared" si="31"/>
        <v/>
      </c>
      <c r="S226" s="61" t="str">
        <f t="shared" si="32"/>
        <v>-</v>
      </c>
      <c r="T226" s="61"/>
      <c r="U226" s="61"/>
      <c r="V226" s="61"/>
      <c r="W226" s="61"/>
      <c r="X226" s="61"/>
      <c r="Y226" s="61"/>
    </row>
    <row r="227" spans="1:81" s="62" customFormat="1" ht="35.1" customHeight="1">
      <c r="A227" s="63"/>
      <c r="B227" s="64"/>
      <c r="C227" s="64"/>
      <c r="D227" s="65"/>
      <c r="E227" s="65"/>
      <c r="F227" s="65"/>
      <c r="G227" s="65"/>
      <c r="H227" s="65"/>
      <c r="I227" s="65"/>
      <c r="J227" s="18"/>
      <c r="K227" s="65"/>
      <c r="L227" s="65"/>
      <c r="M227" s="44"/>
      <c r="N227" s="44"/>
      <c r="O227" s="44"/>
      <c r="P227" s="17"/>
      <c r="Q227" s="60" t="str">
        <f t="shared" si="30"/>
        <v/>
      </c>
      <c r="R227" s="60" t="str">
        <f t="shared" si="31"/>
        <v/>
      </c>
      <c r="S227" s="61" t="str">
        <f t="shared" si="32"/>
        <v>-</v>
      </c>
      <c r="T227" s="61"/>
      <c r="U227" s="61"/>
      <c r="V227" s="61"/>
      <c r="W227" s="61"/>
      <c r="X227" s="61"/>
      <c r="Y227" s="61"/>
    </row>
    <row r="228" spans="1:81" s="62" customFormat="1" ht="35.1" customHeight="1">
      <c r="A228" s="63"/>
      <c r="B228" s="64"/>
      <c r="C228" s="64"/>
      <c r="D228" s="65"/>
      <c r="E228" s="65"/>
      <c r="F228" s="65"/>
      <c r="G228" s="65"/>
      <c r="H228" s="65"/>
      <c r="I228" s="65"/>
      <c r="J228" s="18"/>
      <c r="K228" s="65"/>
      <c r="L228" s="65"/>
      <c r="M228" s="44"/>
      <c r="N228" s="44"/>
      <c r="O228" s="44"/>
      <c r="P228" s="17"/>
      <c r="Q228" s="60" t="str">
        <f t="shared" si="30"/>
        <v/>
      </c>
      <c r="R228" s="60" t="str">
        <f t="shared" si="31"/>
        <v/>
      </c>
      <c r="S228" s="61" t="str">
        <f t="shared" si="32"/>
        <v>-</v>
      </c>
      <c r="T228" s="61"/>
      <c r="U228" s="61"/>
      <c r="V228" s="61"/>
      <c r="W228" s="61"/>
      <c r="X228" s="61"/>
      <c r="Y228" s="61"/>
    </row>
    <row r="229" spans="1:81" s="62" customFormat="1" ht="35.1" customHeight="1">
      <c r="A229" s="63"/>
      <c r="B229" s="64"/>
      <c r="C229" s="64"/>
      <c r="D229" s="65"/>
      <c r="E229" s="65"/>
      <c r="F229" s="65"/>
      <c r="G229" s="65"/>
      <c r="H229" s="65"/>
      <c r="I229" s="65"/>
      <c r="J229" s="18"/>
      <c r="K229" s="65"/>
      <c r="L229" s="65"/>
      <c r="M229" s="44"/>
      <c r="N229" s="44"/>
      <c r="O229" s="44"/>
      <c r="P229" s="17"/>
      <c r="Q229" s="60" t="str">
        <f t="shared" si="30"/>
        <v/>
      </c>
      <c r="R229" s="60" t="str">
        <f t="shared" si="31"/>
        <v/>
      </c>
      <c r="S229" s="61" t="str">
        <f t="shared" si="32"/>
        <v>-</v>
      </c>
      <c r="T229" s="61"/>
      <c r="U229" s="61"/>
      <c r="V229" s="61"/>
      <c r="W229" s="61"/>
      <c r="X229" s="61"/>
      <c r="Y229" s="61"/>
    </row>
    <row r="230" spans="1:81" s="62" customFormat="1" ht="35.1" customHeight="1">
      <c r="A230" s="63"/>
      <c r="B230" s="64"/>
      <c r="C230" s="64"/>
      <c r="D230" s="65"/>
      <c r="E230" s="65"/>
      <c r="F230" s="65"/>
      <c r="G230" s="65"/>
      <c r="H230" s="65"/>
      <c r="I230" s="65"/>
      <c r="J230" s="18"/>
      <c r="K230" s="65"/>
      <c r="L230" s="65"/>
      <c r="M230" s="44"/>
      <c r="N230" s="44"/>
      <c r="O230" s="44"/>
      <c r="P230" s="17"/>
      <c r="Q230" s="60" t="str">
        <f t="shared" si="30"/>
        <v/>
      </c>
      <c r="R230" s="60" t="str">
        <f t="shared" si="31"/>
        <v/>
      </c>
      <c r="S230" s="61" t="str">
        <f t="shared" si="32"/>
        <v>-</v>
      </c>
      <c r="T230" s="61"/>
      <c r="U230" s="61"/>
      <c r="V230" s="61"/>
      <c r="W230" s="61"/>
      <c r="X230" s="61"/>
      <c r="Y230" s="61"/>
    </row>
    <row r="231" spans="1:81" s="62" customFormat="1" ht="35.1" customHeight="1">
      <c r="A231" s="63"/>
      <c r="B231" s="64"/>
      <c r="C231" s="64"/>
      <c r="D231" s="65"/>
      <c r="E231" s="65"/>
      <c r="F231" s="65"/>
      <c r="G231" s="65"/>
      <c r="H231" s="65"/>
      <c r="I231" s="65"/>
      <c r="J231" s="18"/>
      <c r="K231" s="65"/>
      <c r="L231" s="65"/>
      <c r="M231" s="44"/>
      <c r="N231" s="44"/>
      <c r="O231" s="44"/>
      <c r="P231" s="17"/>
      <c r="Q231" s="60" t="str">
        <f t="shared" si="30"/>
        <v/>
      </c>
      <c r="R231" s="60" t="str">
        <f t="shared" si="31"/>
        <v/>
      </c>
      <c r="S231" s="61" t="str">
        <f t="shared" si="32"/>
        <v>-</v>
      </c>
      <c r="T231" s="61"/>
      <c r="U231" s="61"/>
      <c r="V231" s="61"/>
      <c r="W231" s="61"/>
      <c r="X231" s="61"/>
      <c r="Y231" s="61"/>
    </row>
    <row r="232" spans="1:81" s="62" customFormat="1" ht="35.1" customHeight="1">
      <c r="A232" s="63"/>
      <c r="B232" s="64"/>
      <c r="C232" s="64"/>
      <c r="D232" s="65"/>
      <c r="E232" s="65"/>
      <c r="F232" s="65"/>
      <c r="G232" s="65"/>
      <c r="H232" s="65"/>
      <c r="I232" s="65"/>
      <c r="J232" s="18"/>
      <c r="K232" s="65"/>
      <c r="L232" s="65"/>
      <c r="M232" s="44"/>
      <c r="N232" s="44"/>
      <c r="O232" s="44"/>
      <c r="P232" s="17"/>
      <c r="Q232" s="60" t="str">
        <f t="shared" si="30"/>
        <v/>
      </c>
      <c r="R232" s="60" t="str">
        <f t="shared" si="31"/>
        <v/>
      </c>
      <c r="S232" s="61" t="str">
        <f t="shared" si="32"/>
        <v>-</v>
      </c>
      <c r="T232" s="61"/>
      <c r="U232" s="61"/>
      <c r="V232" s="61"/>
      <c r="W232" s="61"/>
      <c r="X232" s="61"/>
      <c r="Y232" s="61"/>
    </row>
    <row r="233" spans="1:81" s="62" customFormat="1" ht="35.1" customHeight="1">
      <c r="A233" s="63"/>
      <c r="B233" s="64"/>
      <c r="C233" s="64"/>
      <c r="D233" s="65"/>
      <c r="E233" s="65"/>
      <c r="F233" s="65"/>
      <c r="G233" s="65"/>
      <c r="H233" s="65"/>
      <c r="I233" s="65"/>
      <c r="J233" s="18"/>
      <c r="K233" s="65"/>
      <c r="L233" s="65"/>
      <c r="M233" s="44"/>
      <c r="N233" s="44"/>
      <c r="O233" s="44"/>
      <c r="P233" s="17"/>
      <c r="Q233" s="60" t="str">
        <f t="shared" si="30"/>
        <v/>
      </c>
      <c r="R233" s="60" t="str">
        <f t="shared" si="31"/>
        <v/>
      </c>
      <c r="S233" s="61" t="str">
        <f t="shared" si="32"/>
        <v>-</v>
      </c>
      <c r="T233" s="61"/>
      <c r="U233" s="61"/>
      <c r="V233" s="61"/>
      <c r="W233" s="61"/>
      <c r="X233" s="61"/>
      <c r="Y233" s="61"/>
    </row>
    <row r="234" spans="1:81" s="62" customFormat="1" ht="35.1" customHeight="1">
      <c r="A234" s="63"/>
      <c r="B234" s="64"/>
      <c r="C234" s="64"/>
      <c r="D234" s="65"/>
      <c r="E234" s="65"/>
      <c r="F234" s="65"/>
      <c r="G234" s="65"/>
      <c r="H234" s="65"/>
      <c r="I234" s="65"/>
      <c r="J234" s="18"/>
      <c r="K234" s="65"/>
      <c r="L234" s="65"/>
      <c r="M234" s="44"/>
      <c r="N234" s="44"/>
      <c r="O234" s="44"/>
      <c r="P234" s="17"/>
      <c r="Q234" s="60" t="str">
        <f t="shared" si="30"/>
        <v/>
      </c>
      <c r="R234" s="60" t="str">
        <f t="shared" si="31"/>
        <v/>
      </c>
      <c r="S234" s="61" t="str">
        <f t="shared" si="32"/>
        <v>-</v>
      </c>
      <c r="T234" s="61"/>
      <c r="U234" s="61"/>
      <c r="V234" s="61"/>
      <c r="W234" s="61"/>
      <c r="X234" s="61"/>
      <c r="Y234" s="61"/>
    </row>
    <row r="235" spans="1:81" s="62" customFormat="1" ht="35.1" customHeight="1">
      <c r="A235" s="77"/>
      <c r="B235" s="78"/>
      <c r="C235" s="78"/>
      <c r="D235" s="79"/>
      <c r="E235" s="79"/>
      <c r="F235" s="79"/>
      <c r="G235" s="79"/>
      <c r="H235" s="79"/>
      <c r="I235" s="79"/>
      <c r="J235" s="42"/>
      <c r="K235" s="79"/>
      <c r="L235" s="79"/>
      <c r="M235" s="90"/>
      <c r="N235" s="90"/>
      <c r="O235" s="90"/>
      <c r="P235" s="91"/>
      <c r="Q235" s="60" t="str">
        <f t="shared" si="30"/>
        <v/>
      </c>
      <c r="R235" s="60" t="str">
        <f t="shared" si="31"/>
        <v/>
      </c>
      <c r="S235" s="61" t="str">
        <f t="shared" si="32"/>
        <v>-</v>
      </c>
      <c r="T235" s="61"/>
      <c r="U235" s="61"/>
      <c r="V235" s="61"/>
      <c r="W235" s="61"/>
      <c r="X235" s="61"/>
      <c r="Y235" s="61"/>
    </row>
    <row r="236" spans="1:81" s="73" customFormat="1" ht="35.1" customHeight="1">
      <c r="A236" s="66" t="s">
        <v>41</v>
      </c>
      <c r="B236" s="67"/>
      <c r="C236" s="67"/>
      <c r="D236" s="68"/>
      <c r="E236" s="68"/>
      <c r="F236" s="68"/>
      <c r="G236" s="69"/>
      <c r="H236" s="69">
        <f>SUM(H216:H235)</f>
        <v>0</v>
      </c>
      <c r="I236" s="69">
        <f>SUM(I216:I235)</f>
        <v>0</v>
      </c>
      <c r="J236" s="69">
        <f>SUM(J216:J235)</f>
        <v>0</v>
      </c>
      <c r="K236" s="70"/>
      <c r="L236" s="70"/>
      <c r="M236" s="70"/>
      <c r="N236" s="70"/>
      <c r="O236" s="70"/>
      <c r="P236" s="71"/>
      <c r="Q236" s="60" t="str">
        <f t="shared" si="30"/>
        <v/>
      </c>
      <c r="R236" s="60" t="str">
        <f t="shared" si="31"/>
        <v/>
      </c>
      <c r="S236" s="61"/>
      <c r="T236" s="61"/>
      <c r="U236" s="61"/>
      <c r="V236" s="61"/>
      <c r="W236" s="61"/>
      <c r="X236" s="61"/>
      <c r="Y236" s="61"/>
      <c r="Z236" s="72"/>
      <c r="AA236" s="72"/>
      <c r="AB236" s="72"/>
      <c r="AC236" s="72"/>
      <c r="AD236" s="72"/>
      <c r="AE236" s="72"/>
      <c r="AF236" s="72"/>
      <c r="AG236" s="72"/>
      <c r="AH236" s="72"/>
      <c r="AI236" s="72"/>
      <c r="AJ236" s="72"/>
      <c r="AK236" s="72"/>
      <c r="AL236" s="72"/>
      <c r="AM236" s="72"/>
      <c r="AN236" s="72"/>
      <c r="AO236" s="72"/>
      <c r="AP236" s="72"/>
      <c r="AQ236" s="72"/>
      <c r="AR236" s="72"/>
      <c r="AS236" s="72"/>
      <c r="AT236" s="72"/>
      <c r="AU236" s="72"/>
      <c r="AV236" s="72"/>
      <c r="AW236" s="72"/>
      <c r="AX236" s="72"/>
      <c r="AY236" s="72"/>
      <c r="AZ236" s="72"/>
      <c r="BA236" s="72"/>
      <c r="BB236" s="72"/>
      <c r="BC236" s="72"/>
      <c r="BD236" s="72"/>
      <c r="BE236" s="72"/>
      <c r="BF236" s="72"/>
      <c r="BG236" s="72"/>
      <c r="BH236" s="72"/>
      <c r="BI236" s="72"/>
      <c r="BJ236" s="72"/>
      <c r="BK236" s="72"/>
      <c r="BL236" s="72"/>
      <c r="BM236" s="72"/>
      <c r="BN236" s="72"/>
      <c r="BO236" s="72"/>
      <c r="BP236" s="72"/>
      <c r="BQ236" s="72"/>
      <c r="BR236" s="72"/>
      <c r="BS236" s="72"/>
      <c r="BT236" s="72"/>
      <c r="BU236" s="72"/>
      <c r="BV236" s="72"/>
      <c r="BW236" s="72"/>
      <c r="BX236" s="72"/>
      <c r="BY236" s="72"/>
      <c r="BZ236" s="72"/>
      <c r="CA236" s="72"/>
      <c r="CB236" s="72"/>
      <c r="CC236" s="72"/>
    </row>
    <row r="237" spans="1:81" s="62" customFormat="1" ht="35.1" customHeight="1">
      <c r="A237" s="87"/>
      <c r="B237" s="82"/>
      <c r="C237" s="82"/>
      <c r="D237" s="80"/>
      <c r="E237" s="80"/>
      <c r="F237" s="80"/>
      <c r="G237" s="59"/>
      <c r="H237" s="19"/>
      <c r="I237" s="59"/>
      <c r="J237" s="19">
        <f>I237-H237</f>
        <v>0</v>
      </c>
      <c r="K237" s="80"/>
      <c r="L237" s="80"/>
      <c r="M237" s="43"/>
      <c r="N237" s="43"/>
      <c r="O237" s="43"/>
      <c r="P237" s="16"/>
      <c r="Q237" s="60" t="str">
        <f>CONCATENATE(D237,K237)</f>
        <v/>
      </c>
      <c r="R237" s="60" t="str">
        <f>CONCATENATE(E237,K237)</f>
        <v/>
      </c>
      <c r="S237" s="61" t="str">
        <f>IF(G237&gt;=I237,"-","err")</f>
        <v>-</v>
      </c>
      <c r="T237" s="61"/>
      <c r="U237" s="61"/>
      <c r="V237" s="61"/>
      <c r="W237" s="61"/>
      <c r="X237" s="61"/>
      <c r="Y237" s="61"/>
    </row>
    <row r="238" spans="1:81" s="62" customFormat="1" ht="35.1" customHeight="1">
      <c r="A238" s="88"/>
      <c r="B238" s="83"/>
      <c r="C238" s="83"/>
      <c r="D238" s="65"/>
      <c r="E238" s="65"/>
      <c r="F238" s="65"/>
      <c r="G238" s="65"/>
      <c r="H238" s="18"/>
      <c r="I238" s="65"/>
      <c r="J238" s="18">
        <f>I238-H238</f>
        <v>0</v>
      </c>
      <c r="K238" s="65"/>
      <c r="L238" s="65"/>
      <c r="M238" s="44"/>
      <c r="N238" s="44">
        <v>0</v>
      </c>
      <c r="O238" s="44">
        <v>0</v>
      </c>
      <c r="P238" s="17"/>
      <c r="Q238" s="60" t="str">
        <f t="shared" ref="Q238:Q257" si="33">CONCATENATE(D238,K238)</f>
        <v/>
      </c>
      <c r="R238" s="60" t="str">
        <f t="shared" ref="R238:R257" si="34">CONCATENATE(E238,K238)</f>
        <v/>
      </c>
      <c r="S238" s="61" t="str">
        <f t="shared" ref="S238:S256" si="35">IF(G238&gt;=I238,"-","err")</f>
        <v>-</v>
      </c>
      <c r="T238" s="61"/>
      <c r="U238" s="61"/>
      <c r="V238" s="61"/>
      <c r="W238" s="61"/>
      <c r="X238" s="61"/>
      <c r="Y238" s="61"/>
    </row>
    <row r="239" spans="1:81" s="62" customFormat="1" ht="35.1" customHeight="1">
      <c r="A239" s="88"/>
      <c r="B239" s="86"/>
      <c r="C239" s="86"/>
      <c r="D239" s="65"/>
      <c r="E239" s="65"/>
      <c r="F239" s="65"/>
      <c r="G239" s="65"/>
      <c r="H239" s="18"/>
      <c r="I239" s="65"/>
      <c r="J239" s="18">
        <f>I239-H239</f>
        <v>0</v>
      </c>
      <c r="K239" s="65"/>
      <c r="L239" s="65"/>
      <c r="M239" s="44"/>
      <c r="N239" s="44">
        <v>0</v>
      </c>
      <c r="O239" s="44">
        <v>0</v>
      </c>
      <c r="P239" s="17"/>
      <c r="Q239" s="60" t="str">
        <f t="shared" si="33"/>
        <v/>
      </c>
      <c r="R239" s="60" t="str">
        <f t="shared" si="34"/>
        <v/>
      </c>
      <c r="S239" s="61" t="str">
        <f t="shared" si="35"/>
        <v>-</v>
      </c>
      <c r="T239" s="61"/>
      <c r="U239" s="61"/>
      <c r="V239" s="61"/>
      <c r="W239" s="61"/>
      <c r="X239" s="61"/>
      <c r="Y239" s="61"/>
    </row>
    <row r="240" spans="1:81" s="62" customFormat="1" ht="35.1" customHeight="1">
      <c r="A240" s="88"/>
      <c r="B240" s="86"/>
      <c r="C240" s="86"/>
      <c r="D240" s="65"/>
      <c r="E240" s="65"/>
      <c r="F240" s="65"/>
      <c r="G240" s="65"/>
      <c r="H240" s="18"/>
      <c r="I240" s="65"/>
      <c r="J240" s="18">
        <f>I240-H240</f>
        <v>0</v>
      </c>
      <c r="K240" s="65"/>
      <c r="L240" s="65"/>
      <c r="M240" s="44"/>
      <c r="N240" s="44">
        <v>0</v>
      </c>
      <c r="O240" s="44">
        <v>0</v>
      </c>
      <c r="P240" s="17"/>
      <c r="Q240" s="60" t="str">
        <f t="shared" si="33"/>
        <v/>
      </c>
      <c r="R240" s="60" t="str">
        <f t="shared" si="34"/>
        <v/>
      </c>
      <c r="S240" s="61" t="str">
        <f t="shared" si="35"/>
        <v>-</v>
      </c>
      <c r="T240" s="61"/>
      <c r="U240" s="61"/>
      <c r="V240" s="61"/>
      <c r="W240" s="61"/>
      <c r="X240" s="61"/>
      <c r="Y240" s="61"/>
    </row>
    <row r="241" spans="1:25" s="62" customFormat="1" ht="35.1" customHeight="1">
      <c r="A241" s="88"/>
      <c r="B241" s="86"/>
      <c r="C241" s="86"/>
      <c r="D241" s="65"/>
      <c r="E241" s="65"/>
      <c r="F241" s="65"/>
      <c r="G241" s="65"/>
      <c r="H241" s="18"/>
      <c r="I241" s="65"/>
      <c r="J241" s="18">
        <f>I241-H241</f>
        <v>0</v>
      </c>
      <c r="K241" s="65"/>
      <c r="L241" s="65"/>
      <c r="M241" s="44"/>
      <c r="N241" s="44">
        <v>0</v>
      </c>
      <c r="O241" s="44">
        <v>0</v>
      </c>
      <c r="P241" s="17"/>
      <c r="Q241" s="60" t="str">
        <f t="shared" si="33"/>
        <v/>
      </c>
      <c r="R241" s="60" t="str">
        <f t="shared" si="34"/>
        <v/>
      </c>
      <c r="S241" s="61" t="str">
        <f t="shared" si="35"/>
        <v>-</v>
      </c>
      <c r="T241" s="61"/>
      <c r="U241" s="61"/>
      <c r="V241" s="61"/>
      <c r="W241" s="61"/>
      <c r="X241" s="61"/>
      <c r="Y241" s="61"/>
    </row>
    <row r="242" spans="1:25" s="62" customFormat="1" ht="35.1" customHeight="1">
      <c r="A242" s="63"/>
      <c r="B242" s="83"/>
      <c r="C242" s="83"/>
      <c r="D242" s="65"/>
      <c r="E242" s="65"/>
      <c r="F242" s="65"/>
      <c r="G242" s="65"/>
      <c r="H242" s="76"/>
      <c r="I242" s="65"/>
      <c r="J242" s="18"/>
      <c r="K242" s="65"/>
      <c r="L242" s="65"/>
      <c r="M242" s="44"/>
      <c r="N242" s="44">
        <v>0</v>
      </c>
      <c r="O242" s="44">
        <v>0</v>
      </c>
      <c r="P242" s="17"/>
      <c r="Q242" s="60" t="str">
        <f t="shared" si="33"/>
        <v/>
      </c>
      <c r="R242" s="60" t="str">
        <f t="shared" si="34"/>
        <v/>
      </c>
      <c r="S242" s="61" t="str">
        <f t="shared" si="35"/>
        <v>-</v>
      </c>
      <c r="T242" s="61"/>
      <c r="U242" s="61"/>
      <c r="V242" s="61"/>
      <c r="W242" s="61"/>
      <c r="X242" s="61"/>
      <c r="Y242" s="61"/>
    </row>
    <row r="243" spans="1:25" s="62" customFormat="1" ht="35.1" customHeight="1">
      <c r="A243" s="63"/>
      <c r="B243" s="83"/>
      <c r="C243" s="83"/>
      <c r="D243" s="81"/>
      <c r="E243" s="81"/>
      <c r="F243" s="81"/>
      <c r="G243" s="65"/>
      <c r="H243" s="85"/>
      <c r="I243" s="65"/>
      <c r="J243" s="18"/>
      <c r="K243" s="81"/>
      <c r="L243" s="81"/>
      <c r="M243" s="44"/>
      <c r="N243" s="44"/>
      <c r="O243" s="44"/>
      <c r="P243" s="17"/>
      <c r="Q243" s="60" t="str">
        <f t="shared" si="33"/>
        <v/>
      </c>
      <c r="R243" s="60" t="str">
        <f t="shared" si="34"/>
        <v/>
      </c>
      <c r="S243" s="61" t="str">
        <f t="shared" si="35"/>
        <v>-</v>
      </c>
      <c r="T243" s="61"/>
      <c r="U243" s="61"/>
      <c r="V243" s="61"/>
      <c r="W243" s="61"/>
      <c r="X243" s="61"/>
      <c r="Y243" s="61"/>
    </row>
    <row r="244" spans="1:25" s="62" customFormat="1" ht="35.1" customHeight="1">
      <c r="A244" s="63"/>
      <c r="B244" s="83"/>
      <c r="C244" s="83"/>
      <c r="D244" s="81"/>
      <c r="E244" s="81"/>
      <c r="F244" s="81"/>
      <c r="G244" s="65"/>
      <c r="H244" s="85"/>
      <c r="I244" s="65"/>
      <c r="J244" s="18"/>
      <c r="K244" s="81"/>
      <c r="L244" s="81"/>
      <c r="M244" s="44"/>
      <c r="N244" s="44">
        <v>0</v>
      </c>
      <c r="O244" s="44">
        <v>0</v>
      </c>
      <c r="P244" s="17"/>
      <c r="Q244" s="60" t="str">
        <f t="shared" si="33"/>
        <v/>
      </c>
      <c r="R244" s="60" t="str">
        <f t="shared" si="34"/>
        <v/>
      </c>
      <c r="S244" s="61" t="str">
        <f t="shared" si="35"/>
        <v>-</v>
      </c>
      <c r="T244" s="61"/>
      <c r="U244" s="61"/>
      <c r="V244" s="61"/>
      <c r="W244" s="61"/>
      <c r="X244" s="61"/>
      <c r="Y244" s="61"/>
    </row>
    <row r="245" spans="1:25" s="62" customFormat="1" ht="35.1" customHeight="1">
      <c r="A245" s="63"/>
      <c r="B245" s="83"/>
      <c r="C245" s="83"/>
      <c r="D245" s="81"/>
      <c r="E245" s="81"/>
      <c r="F245" s="81"/>
      <c r="G245" s="65"/>
      <c r="H245" s="85"/>
      <c r="I245" s="65"/>
      <c r="J245" s="18"/>
      <c r="K245" s="81"/>
      <c r="L245" s="81"/>
      <c r="M245" s="44">
        <v>0</v>
      </c>
      <c r="N245" s="44">
        <v>0</v>
      </c>
      <c r="O245" s="44">
        <v>0</v>
      </c>
      <c r="P245" s="17"/>
      <c r="Q245" s="60" t="str">
        <f t="shared" si="33"/>
        <v/>
      </c>
      <c r="R245" s="60" t="str">
        <f t="shared" si="34"/>
        <v/>
      </c>
      <c r="S245" s="61" t="str">
        <f t="shared" si="35"/>
        <v>-</v>
      </c>
      <c r="T245" s="61"/>
      <c r="U245" s="61"/>
      <c r="V245" s="61"/>
      <c r="W245" s="61"/>
      <c r="X245" s="61"/>
      <c r="Y245" s="61"/>
    </row>
    <row r="246" spans="1:25" s="62" customFormat="1" ht="35.1" customHeight="1">
      <c r="A246" s="63"/>
      <c r="B246" s="83"/>
      <c r="C246" s="83"/>
      <c r="D246" s="81"/>
      <c r="E246" s="81"/>
      <c r="F246" s="81"/>
      <c r="G246" s="65"/>
      <c r="H246" s="85"/>
      <c r="I246" s="65"/>
      <c r="J246" s="18"/>
      <c r="K246" s="81"/>
      <c r="L246" s="81"/>
      <c r="M246" s="44">
        <v>0</v>
      </c>
      <c r="N246" s="44">
        <v>0</v>
      </c>
      <c r="O246" s="44">
        <v>0</v>
      </c>
      <c r="P246" s="17"/>
      <c r="Q246" s="60" t="str">
        <f t="shared" si="33"/>
        <v/>
      </c>
      <c r="R246" s="60" t="str">
        <f t="shared" si="34"/>
        <v/>
      </c>
      <c r="S246" s="61" t="str">
        <f t="shared" si="35"/>
        <v>-</v>
      </c>
      <c r="T246" s="61"/>
      <c r="U246" s="61"/>
      <c r="V246" s="61"/>
      <c r="W246" s="61"/>
      <c r="X246" s="61"/>
      <c r="Y246" s="61"/>
    </row>
    <row r="247" spans="1:25" s="62" customFormat="1" ht="35.1" customHeight="1">
      <c r="A247" s="63"/>
      <c r="B247" s="83"/>
      <c r="C247" s="83"/>
      <c r="D247" s="81"/>
      <c r="E247" s="81"/>
      <c r="F247" s="81"/>
      <c r="G247" s="65"/>
      <c r="H247" s="85"/>
      <c r="I247" s="65"/>
      <c r="J247" s="18"/>
      <c r="K247" s="81"/>
      <c r="L247" s="81"/>
      <c r="M247" s="44">
        <v>0</v>
      </c>
      <c r="N247" s="44">
        <v>0</v>
      </c>
      <c r="O247" s="44">
        <v>0</v>
      </c>
      <c r="P247" s="17"/>
      <c r="Q247" s="60" t="str">
        <f t="shared" si="33"/>
        <v/>
      </c>
      <c r="R247" s="60" t="str">
        <f t="shared" si="34"/>
        <v/>
      </c>
      <c r="S247" s="61" t="str">
        <f t="shared" si="35"/>
        <v>-</v>
      </c>
      <c r="T247" s="61"/>
      <c r="U247" s="61"/>
      <c r="V247" s="61"/>
      <c r="W247" s="61"/>
      <c r="X247" s="61"/>
      <c r="Y247" s="61"/>
    </row>
    <row r="248" spans="1:25" s="62" customFormat="1" ht="35.1" customHeight="1">
      <c r="A248" s="63"/>
      <c r="B248" s="64"/>
      <c r="C248" s="64"/>
      <c r="D248" s="65"/>
      <c r="E248" s="65"/>
      <c r="F248" s="65"/>
      <c r="G248" s="65"/>
      <c r="H248" s="65"/>
      <c r="I248" s="65"/>
      <c r="J248" s="18"/>
      <c r="K248" s="65"/>
      <c r="L248" s="65"/>
      <c r="M248" s="44"/>
      <c r="N248" s="44"/>
      <c r="O248" s="44"/>
      <c r="P248" s="17"/>
      <c r="Q248" s="60" t="str">
        <f t="shared" si="33"/>
        <v/>
      </c>
      <c r="R248" s="60" t="str">
        <f t="shared" si="34"/>
        <v/>
      </c>
      <c r="S248" s="61" t="str">
        <f t="shared" si="35"/>
        <v>-</v>
      </c>
      <c r="T248" s="61"/>
      <c r="U248" s="61"/>
      <c r="V248" s="61"/>
      <c r="W248" s="61"/>
      <c r="X248" s="61"/>
      <c r="Y248" s="61"/>
    </row>
    <row r="249" spans="1:25" s="62" customFormat="1" ht="35.1" customHeight="1">
      <c r="A249" s="63"/>
      <c r="B249" s="64"/>
      <c r="C249" s="64"/>
      <c r="D249" s="65"/>
      <c r="E249" s="65"/>
      <c r="F249" s="65"/>
      <c r="G249" s="65"/>
      <c r="H249" s="65"/>
      <c r="I249" s="65"/>
      <c r="J249" s="18"/>
      <c r="K249" s="65"/>
      <c r="L249" s="65"/>
      <c r="M249" s="44"/>
      <c r="N249" s="44"/>
      <c r="O249" s="44"/>
      <c r="P249" s="17"/>
      <c r="Q249" s="60" t="str">
        <f t="shared" si="33"/>
        <v/>
      </c>
      <c r="R249" s="60" t="str">
        <f t="shared" si="34"/>
        <v/>
      </c>
      <c r="S249" s="61" t="str">
        <f t="shared" si="35"/>
        <v>-</v>
      </c>
      <c r="T249" s="61"/>
      <c r="U249" s="61"/>
      <c r="V249" s="61"/>
      <c r="W249" s="61"/>
      <c r="X249" s="61"/>
      <c r="Y249" s="61"/>
    </row>
    <row r="250" spans="1:25" s="62" customFormat="1" ht="35.1" customHeight="1">
      <c r="A250" s="63"/>
      <c r="B250" s="64"/>
      <c r="C250" s="64"/>
      <c r="D250" s="65"/>
      <c r="E250" s="65"/>
      <c r="F250" s="65"/>
      <c r="G250" s="65"/>
      <c r="H250" s="65"/>
      <c r="I250" s="65"/>
      <c r="J250" s="18"/>
      <c r="K250" s="65"/>
      <c r="L250" s="65"/>
      <c r="M250" s="44"/>
      <c r="N250" s="44"/>
      <c r="O250" s="44"/>
      <c r="P250" s="17"/>
      <c r="Q250" s="60" t="str">
        <f t="shared" si="33"/>
        <v/>
      </c>
      <c r="R250" s="60" t="str">
        <f t="shared" si="34"/>
        <v/>
      </c>
      <c r="S250" s="61" t="str">
        <f t="shared" si="35"/>
        <v>-</v>
      </c>
      <c r="T250" s="61"/>
      <c r="U250" s="61"/>
      <c r="V250" s="61"/>
      <c r="W250" s="61"/>
      <c r="X250" s="61"/>
      <c r="Y250" s="61"/>
    </row>
    <row r="251" spans="1:25" s="62" customFormat="1" ht="35.1" customHeight="1">
      <c r="A251" s="63"/>
      <c r="B251" s="64"/>
      <c r="C251" s="64"/>
      <c r="D251" s="65"/>
      <c r="E251" s="65"/>
      <c r="F251" s="65"/>
      <c r="G251" s="65"/>
      <c r="H251" s="65"/>
      <c r="I251" s="65"/>
      <c r="J251" s="18"/>
      <c r="K251" s="65"/>
      <c r="L251" s="65"/>
      <c r="M251" s="44"/>
      <c r="N251" s="44"/>
      <c r="O251" s="44"/>
      <c r="P251" s="17"/>
      <c r="Q251" s="60" t="str">
        <f t="shared" si="33"/>
        <v/>
      </c>
      <c r="R251" s="60" t="str">
        <f t="shared" si="34"/>
        <v/>
      </c>
      <c r="S251" s="61" t="str">
        <f t="shared" si="35"/>
        <v>-</v>
      </c>
      <c r="T251" s="61"/>
      <c r="U251" s="61"/>
      <c r="V251" s="61"/>
      <c r="W251" s="61"/>
      <c r="X251" s="61"/>
      <c r="Y251" s="61"/>
    </row>
    <row r="252" spans="1:25" s="62" customFormat="1" ht="35.1" customHeight="1">
      <c r="A252" s="63"/>
      <c r="B252" s="64"/>
      <c r="C252" s="64"/>
      <c r="D252" s="65"/>
      <c r="E252" s="65"/>
      <c r="F252" s="65"/>
      <c r="G252" s="65"/>
      <c r="H252" s="65"/>
      <c r="I252" s="65"/>
      <c r="J252" s="18"/>
      <c r="K252" s="65"/>
      <c r="L252" s="65"/>
      <c r="M252" s="44"/>
      <c r="N252" s="44"/>
      <c r="O252" s="44"/>
      <c r="P252" s="17"/>
      <c r="Q252" s="60" t="str">
        <f t="shared" si="33"/>
        <v/>
      </c>
      <c r="R252" s="60" t="str">
        <f t="shared" si="34"/>
        <v/>
      </c>
      <c r="S252" s="61" t="str">
        <f t="shared" si="35"/>
        <v>-</v>
      </c>
      <c r="T252" s="61"/>
      <c r="U252" s="61"/>
      <c r="V252" s="61"/>
      <c r="W252" s="61"/>
      <c r="X252" s="61"/>
      <c r="Y252" s="61"/>
    </row>
    <row r="253" spans="1:25" s="62" customFormat="1" ht="35.1" customHeight="1">
      <c r="A253" s="63"/>
      <c r="B253" s="64"/>
      <c r="C253" s="64"/>
      <c r="D253" s="65"/>
      <c r="E253" s="65"/>
      <c r="F253" s="65"/>
      <c r="G253" s="65"/>
      <c r="H253" s="65"/>
      <c r="I253" s="65"/>
      <c r="J253" s="18"/>
      <c r="K253" s="65"/>
      <c r="L253" s="65"/>
      <c r="M253" s="44"/>
      <c r="N253" s="44"/>
      <c r="O253" s="44"/>
      <c r="P253" s="17"/>
      <c r="Q253" s="60" t="str">
        <f t="shared" si="33"/>
        <v/>
      </c>
      <c r="R253" s="60" t="str">
        <f t="shared" si="34"/>
        <v/>
      </c>
      <c r="S253" s="61" t="str">
        <f t="shared" si="35"/>
        <v>-</v>
      </c>
      <c r="T253" s="61"/>
      <c r="U253" s="61"/>
      <c r="V253" s="61"/>
      <c r="W253" s="61"/>
      <c r="X253" s="61"/>
      <c r="Y253" s="61"/>
    </row>
    <row r="254" spans="1:25" s="62" customFormat="1" ht="35.1" customHeight="1">
      <c r="A254" s="63"/>
      <c r="B254" s="64"/>
      <c r="C254" s="64"/>
      <c r="D254" s="65"/>
      <c r="E254" s="65"/>
      <c r="F254" s="65"/>
      <c r="G254" s="65"/>
      <c r="H254" s="65"/>
      <c r="I254" s="65"/>
      <c r="J254" s="18"/>
      <c r="K254" s="65"/>
      <c r="L254" s="65"/>
      <c r="M254" s="44"/>
      <c r="N254" s="44"/>
      <c r="O254" s="44"/>
      <c r="P254" s="17"/>
      <c r="Q254" s="60" t="str">
        <f t="shared" si="33"/>
        <v/>
      </c>
      <c r="R254" s="60" t="str">
        <f t="shared" si="34"/>
        <v/>
      </c>
      <c r="S254" s="61" t="str">
        <f t="shared" si="35"/>
        <v>-</v>
      </c>
      <c r="T254" s="61"/>
      <c r="U254" s="61"/>
      <c r="V254" s="61"/>
      <c r="W254" s="61"/>
      <c r="X254" s="61"/>
      <c r="Y254" s="61"/>
    </row>
    <row r="255" spans="1:25" s="62" customFormat="1" ht="35.1" customHeight="1">
      <c r="A255" s="63"/>
      <c r="B255" s="64"/>
      <c r="C255" s="64"/>
      <c r="D255" s="65"/>
      <c r="E255" s="65"/>
      <c r="F255" s="65"/>
      <c r="G255" s="65"/>
      <c r="H255" s="65"/>
      <c r="I255" s="65"/>
      <c r="J255" s="18"/>
      <c r="K255" s="65"/>
      <c r="L255" s="65"/>
      <c r="M255" s="44"/>
      <c r="N255" s="44"/>
      <c r="O255" s="44"/>
      <c r="P255" s="17"/>
      <c r="Q255" s="60" t="str">
        <f t="shared" si="33"/>
        <v/>
      </c>
      <c r="R255" s="60" t="str">
        <f t="shared" si="34"/>
        <v/>
      </c>
      <c r="S255" s="61" t="str">
        <f t="shared" si="35"/>
        <v>-</v>
      </c>
      <c r="T255" s="61"/>
      <c r="U255" s="61"/>
      <c r="V255" s="61"/>
      <c r="W255" s="61"/>
      <c r="X255" s="61"/>
      <c r="Y255" s="61"/>
    </row>
    <row r="256" spans="1:25" s="62" customFormat="1" ht="35.1" customHeight="1">
      <c r="A256" s="77"/>
      <c r="B256" s="78"/>
      <c r="C256" s="78"/>
      <c r="D256" s="79"/>
      <c r="E256" s="79"/>
      <c r="F256" s="79"/>
      <c r="G256" s="79"/>
      <c r="H256" s="79"/>
      <c r="I256" s="79"/>
      <c r="J256" s="42"/>
      <c r="K256" s="79"/>
      <c r="L256" s="79"/>
      <c r="M256" s="90"/>
      <c r="N256" s="90"/>
      <c r="O256" s="90"/>
      <c r="P256" s="91"/>
      <c r="Q256" s="60" t="str">
        <f t="shared" si="33"/>
        <v/>
      </c>
      <c r="R256" s="60" t="str">
        <f t="shared" si="34"/>
        <v/>
      </c>
      <c r="S256" s="61" t="str">
        <f t="shared" si="35"/>
        <v>-</v>
      </c>
      <c r="T256" s="61"/>
      <c r="U256" s="61"/>
      <c r="V256" s="61"/>
      <c r="W256" s="61"/>
      <c r="X256" s="61"/>
      <c r="Y256" s="61"/>
    </row>
    <row r="257" spans="1:81" s="73" customFormat="1" ht="35.1" customHeight="1">
      <c r="A257" s="66" t="s">
        <v>41</v>
      </c>
      <c r="B257" s="67"/>
      <c r="C257" s="67"/>
      <c r="D257" s="68"/>
      <c r="E257" s="68"/>
      <c r="F257" s="68"/>
      <c r="G257" s="69"/>
      <c r="H257" s="69">
        <f>SUM(H237:H256)</f>
        <v>0</v>
      </c>
      <c r="I257" s="69">
        <f>SUM(I237:I256)</f>
        <v>0</v>
      </c>
      <c r="J257" s="69">
        <f>SUM(J237:J256)</f>
        <v>0</v>
      </c>
      <c r="K257" s="70"/>
      <c r="L257" s="70"/>
      <c r="M257" s="70"/>
      <c r="N257" s="70"/>
      <c r="O257" s="70"/>
      <c r="P257" s="71"/>
      <c r="Q257" s="60" t="str">
        <f t="shared" si="33"/>
        <v/>
      </c>
      <c r="R257" s="60" t="str">
        <f t="shared" si="34"/>
        <v/>
      </c>
      <c r="S257" s="61"/>
      <c r="T257" s="61"/>
      <c r="U257" s="61"/>
      <c r="V257" s="61"/>
      <c r="W257" s="61"/>
      <c r="X257" s="61"/>
      <c r="Y257" s="61"/>
      <c r="Z257" s="72"/>
      <c r="AA257" s="72"/>
      <c r="AB257" s="72"/>
      <c r="AC257" s="72"/>
      <c r="AD257" s="72"/>
      <c r="AE257" s="72"/>
      <c r="AF257" s="72"/>
      <c r="AG257" s="72"/>
      <c r="AH257" s="72"/>
      <c r="AI257" s="72"/>
      <c r="AJ257" s="72"/>
      <c r="AK257" s="72"/>
      <c r="AL257" s="72"/>
      <c r="AM257" s="72"/>
      <c r="AN257" s="72"/>
      <c r="AO257" s="72"/>
      <c r="AP257" s="72"/>
      <c r="AQ257" s="72"/>
      <c r="AR257" s="72"/>
      <c r="AS257" s="72"/>
      <c r="AT257" s="72"/>
      <c r="AU257" s="72"/>
      <c r="AV257" s="72"/>
      <c r="AW257" s="72"/>
      <c r="AX257" s="72"/>
      <c r="AY257" s="72"/>
      <c r="AZ257" s="72"/>
      <c r="BA257" s="72"/>
      <c r="BB257" s="72"/>
      <c r="BC257" s="72"/>
      <c r="BD257" s="72"/>
      <c r="BE257" s="72"/>
      <c r="BF257" s="72"/>
      <c r="BG257" s="72"/>
      <c r="BH257" s="72"/>
      <c r="BI257" s="72"/>
      <c r="BJ257" s="72"/>
      <c r="BK257" s="72"/>
      <c r="BL257" s="72"/>
      <c r="BM257" s="72"/>
      <c r="BN257" s="72"/>
      <c r="BO257" s="72"/>
      <c r="BP257" s="72"/>
      <c r="BQ257" s="72"/>
      <c r="BR257" s="72"/>
      <c r="BS257" s="72"/>
      <c r="BT257" s="72"/>
      <c r="BU257" s="72"/>
      <c r="BV257" s="72"/>
      <c r="BW257" s="72"/>
      <c r="BX257" s="72"/>
      <c r="BY257" s="72"/>
      <c r="BZ257" s="72"/>
      <c r="CA257" s="72"/>
      <c r="CB257" s="72"/>
      <c r="CC257" s="72"/>
    </row>
  </sheetData>
  <mergeCells count="9">
    <mergeCell ref="A1:P1"/>
    <mergeCell ref="B4:C4"/>
    <mergeCell ref="D4:E4"/>
    <mergeCell ref="F4:G4"/>
    <mergeCell ref="H4:I4"/>
    <mergeCell ref="J4:J5"/>
    <mergeCell ref="K4:L4"/>
    <mergeCell ref="M4:O4"/>
    <mergeCell ref="P4:P5"/>
  </mergeCells>
  <phoneticPr fontId="5" type="noConversion"/>
  <printOptions horizontalCentered="1" verticalCentered="1"/>
  <pageMargins left="0.27559055118110237" right="0.19685039370078741" top="0.74803149606299213" bottom="0.43307086614173229" header="0.39370078740157483" footer="0.19685039370078741"/>
  <pageSetup paperSize="9" scale="86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22</vt:i4>
      </vt:variant>
    </vt:vector>
  </HeadingPairs>
  <TitlesOfParts>
    <vt:vector size="33" baseType="lpstr">
      <vt:lpstr>토지조서</vt:lpstr>
      <vt:lpstr>xxx출력금지선두리확인용</vt:lpstr>
      <vt:lpstr>xxx출력금지사기리확인용</vt:lpstr>
      <vt:lpstr>xxx출력금지덕포리확인용</vt:lpstr>
      <vt:lpstr>선두리 (2)</vt:lpstr>
      <vt:lpstr>사기리 (2)</vt:lpstr>
      <vt:lpstr>덕포리 (2)</vt:lpstr>
      <vt:lpstr>3구간집계표</vt:lpstr>
      <vt:lpstr>3구간</vt:lpstr>
      <vt:lpstr>리명3</vt:lpstr>
      <vt:lpstr>리명4</vt:lpstr>
      <vt:lpstr>'3구간'!Print_Area</vt:lpstr>
      <vt:lpstr>'3구간집계표'!Print_Area</vt:lpstr>
      <vt:lpstr>xxx출력금지덕포리확인용!Print_Area</vt:lpstr>
      <vt:lpstr>xxx출력금지사기리확인용!Print_Area</vt:lpstr>
      <vt:lpstr>xxx출력금지선두리확인용!Print_Area</vt:lpstr>
      <vt:lpstr>'덕포리 (2)'!Print_Area</vt:lpstr>
      <vt:lpstr>리명3!Print_Area</vt:lpstr>
      <vt:lpstr>리명4!Print_Area</vt:lpstr>
      <vt:lpstr>'사기리 (2)'!Print_Area</vt:lpstr>
      <vt:lpstr>'선두리 (2)'!Print_Area</vt:lpstr>
      <vt:lpstr>토지조서!Print_Area</vt:lpstr>
      <vt:lpstr>'3구간'!Print_Titles</vt:lpstr>
      <vt:lpstr>'3구간집계표'!Print_Titles</vt:lpstr>
      <vt:lpstr>xxx출력금지덕포리확인용!Print_Titles</vt:lpstr>
      <vt:lpstr>xxx출력금지사기리확인용!Print_Titles</vt:lpstr>
      <vt:lpstr>xxx출력금지선두리확인용!Print_Titles</vt:lpstr>
      <vt:lpstr>'덕포리 (2)'!Print_Titles</vt:lpstr>
      <vt:lpstr>리명3!Print_Titles</vt:lpstr>
      <vt:lpstr>리명4!Print_Titles</vt:lpstr>
      <vt:lpstr>'사기리 (2)'!Print_Titles</vt:lpstr>
      <vt:lpstr>'선두리 (2)'!Print_Titles</vt:lpstr>
      <vt:lpstr>토지조서!Print_Titles</vt:lpstr>
    </vt:vector>
  </TitlesOfParts>
  <Company>roadline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박경수</dc:creator>
  <cp:lastModifiedBy>admin</cp:lastModifiedBy>
  <cp:lastPrinted>2021-11-23T00:52:23Z</cp:lastPrinted>
  <dcterms:created xsi:type="dcterms:W3CDTF">2003-12-16T04:41:24Z</dcterms:created>
  <dcterms:modified xsi:type="dcterms:W3CDTF">2022-06-23T22:24:13Z</dcterms:modified>
</cp:coreProperties>
</file>